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1b17ac882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bf84237a29f41cb"/>
    <x:sheet xmlns:r="http://schemas.openxmlformats.org/officeDocument/2006/relationships" name="Assumptions" sheetId="2" r:id="Rcf9b05727ba64153"/>
    <x:sheet xmlns:r="http://schemas.openxmlformats.org/officeDocument/2006/relationships" name="Revenue" sheetId="3" r:id="R9bfd1845c88f4cf7"/>
    <x:sheet xmlns:r="http://schemas.openxmlformats.org/officeDocument/2006/relationships" name="Expenses" sheetId="4" r:id="R03fcf9efa73d4d0c"/>
    <x:sheet xmlns:r="http://schemas.openxmlformats.org/officeDocument/2006/relationships" name="DCF" sheetId="5" r:id="Rfb94c691126e4d88"/>
    <x:sheet xmlns:r="http://schemas.openxmlformats.org/officeDocument/2006/relationships" name="History" sheetId="6" r:id="R682d4ee9d9f04865"/>
    <x:sheet xmlns:r="http://schemas.openxmlformats.org/officeDocument/2006/relationships" name="Price history" sheetId="7" r:id="R196cb854cebe432c"/>
    <x:sheet xmlns:r="http://schemas.openxmlformats.org/officeDocument/2006/relationships" name="Sensitivity" sheetId="8" r:id="R3af6b1fc57574cea"/>
    <x:sheet xmlns:r="http://schemas.openxmlformats.org/officeDocument/2006/relationships" name="Evidence" sheetId="9" r:id="R93235d43a8c54f91"/>
    <x:sheet xmlns:r="http://schemas.openxmlformats.org/officeDocument/2006/relationships" name="Research" sheetId="10" r:id="Rb4844d07266c42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0.0%;(0.0%);&quot;-&quot;"/>
    <x:numFmt numFmtId="202" formatCode="0.0000000"/>
    <x:numFmt numFmtId="203" formatCode="0.000"/>
    <x:numFmt numFmtId="204" formatCode="0.00%"/>
  </x:numFmts>
  <x:fonts count="11">
    <x:font>
      <x:sz val="11"/>
      <x:name val="Carlito"/>
    </x:font>
    <x:font>
      <x:sz val="10"/>
      <x:name val="Arial"/>
    </x:font>
    <x:font>
      <x:b/>
      <x:sz val="15"/>
      <x:color rgb="FF142D45"/>
      <x:name val="Arial"/>
    </x:font>
    <x:font>
      <x:sz val="10"/>
      <x:color rgb="FF142D45"/>
      <x:name val="Arial"/>
    </x:font>
    <x:font>
      <x:sz val="10"/>
      <x:color rgb="FF008000"/>
      <x:name val="Arial"/>
    </x:font>
    <x:font>
      <x:sz val="10"/>
      <x:color rgb="FF000000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  <x:font>
      <x:sz val="11"/>
      <x:color rgb="FF000000"/>
      <x:name val="Carlito"/>
    </x:font>
    <x:font>
      <x:b/>
      <x:sz val="14"/>
      <x:color rgb="FF142D4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2D45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200" fontId="5" fillId="0" borderId="0" xfId="0" applyNumberFormat="1" applyFont="1" applyFill="1" applyBorder="1"/>
    <x:xf numFmtId="0" fontId="9" fillId="0" borderId="0" xfId="0" applyNumberFormat="1" applyFont="1" applyFill="1" applyBorder="1"/>
    <x:xf numFmtId="201" fontId="5" fillId="0" borderId="0" xfId="0" applyNumberFormat="1" applyFont="1" applyFill="1" applyBorder="1"/>
    <x:xf numFmtId="201" fontId="1" fillId="0" borderId="0" xfId="0" applyNumberFormat="1" applyFont="1" applyFill="1" applyBorder="1"/>
    <x:xf numFmtId="201" fontId="6" fillId="0" borderId="0" xfId="0" applyNumberFormat="1" applyFont="1" applyFill="1" applyBorder="1"/>
    <x:xf numFmtId="200" fontId="6" fillId="0" borderId="0" xfId="0" applyNumberFormat="1" applyFont="1" applyFill="1" applyBorder="1"/>
    <x:xf numFmtId="201" fontId="6" fillId="2" borderId="0" xfId="0" applyNumberFormat="1" applyFont="1" applyFill="1" applyBorder="1"/>
    <x:xf numFmtId="200" fontId="6" fillId="2" borderId="0" xfId="0" applyNumberFormat="1" applyFont="1" applyFill="1" applyBorder="1"/>
    <x:xf numFmtId="202" fontId="1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3" fontId="4" fillId="0" borderId="0" xfId="0" applyNumberFormat="1" applyFont="1" applyFill="1" applyBorder="1"/>
    <x:xf numFmtId="204" fontId="4" fillId="0" borderId="0" xfId="0" applyNumberFormat="1" applyFont="1" applyFill="1" applyBorder="1"/>
    <x:xf numFmtId="200" fontId="1" fillId="3" borderId="0" xfId="0" applyNumberFormat="1" applyFont="1" applyFill="1" applyBorder="1"/>
    <x:xf numFmtId="200" fontId="7" fillId="3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0" fontId="10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feb316f8b41f0" /><Relationship Type="http://schemas.openxmlformats.org/officeDocument/2006/relationships/theme" Target="/xl/theme/theme1.xml" Id="Rf76a20d868194651" /><Relationship Type="http://schemas.openxmlformats.org/officeDocument/2006/relationships/sharedStrings" Target="/xl/sharedStrings.xml" Id="Rae1b340d62f84ca0" /><Relationship Type="http://schemas.openxmlformats.org/officeDocument/2006/relationships/worksheet" Target="/xl/worksheets/sheet1.xml" Id="R7bf84237a29f41cb" /><Relationship Type="http://schemas.openxmlformats.org/officeDocument/2006/relationships/worksheet" Target="/xl/worksheets/sheet2.xml" Id="Rcf9b05727ba64153" /><Relationship Type="http://schemas.openxmlformats.org/officeDocument/2006/relationships/worksheet" Target="/xl/worksheets/sheet3.xml" Id="R9bfd1845c88f4cf7" /><Relationship Type="http://schemas.openxmlformats.org/officeDocument/2006/relationships/worksheet" Target="/xl/worksheets/sheet4.xml" Id="R03fcf9efa73d4d0c" /><Relationship Type="http://schemas.openxmlformats.org/officeDocument/2006/relationships/worksheet" Target="/xl/worksheets/sheet5.xml" Id="Rfb94c691126e4d88" /><Relationship Type="http://schemas.openxmlformats.org/officeDocument/2006/relationships/worksheet" Target="/xl/worksheets/sheet6.xml" Id="R682d4ee9d9f04865" /><Relationship Type="http://schemas.openxmlformats.org/officeDocument/2006/relationships/worksheet" Target="/xl/worksheets/sheet7.xml" Id="R196cb854cebe432c" /><Relationship Type="http://schemas.openxmlformats.org/officeDocument/2006/relationships/worksheet" Target="/xl/worksheets/sheet8.xml" Id="R3af6b1fc57574cea" /><Relationship Type="http://schemas.openxmlformats.org/officeDocument/2006/relationships/worksheet" Target="/xl/worksheets/sheet9.xml" Id="R93235d43a8c54f91" /><Relationship Type="http://schemas.openxmlformats.org/officeDocument/2006/relationships/worksheet" Target="/xl/worksheets/sheet10.xml" Id="Rb4844d07266c428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4557433b2a4f39" /><Relationship Type="http://schemas.openxmlformats.org/officeDocument/2006/relationships/chart" Target="/xl/drawings/charts/chart2.xml" Id="Rf2e092cec3284ab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Quarterly operating revenue (INR crore)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087F8C"/>
            </a:solidFill>
            <a:ln xmlns:a="http://schemas.openxmlformats.org/drawingml/2006/main" w="19050">
              <a:solidFill>
                <a:srgbClr val="087F8C"/>
              </a:solidFill>
              <a:prstDash val="solid"/>
            </a:ln>
          </c:spPr>
          <c:marker>
            <c:symbol val="none"/>
          </c:marker>
          <c:cat>
            <c:strRef>
              <c:f>'History'!$C$7:$C$19</c:f>
              <c:strCache>
                <c:ptCount val="0"/>
              </c:strCache>
            </c:strRef>
          </c:cat>
          <c:val>
            <c:numRef>
              <c:f>'History'!$D$7:$D$19</c:f>
              <c:numCache>
                <c:formatCode>#,##0.00;(#,##0.00);"-"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Quarterly EBIT and PAT margins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EBIT margin</c:v>
          </c:tx>
          <c:spPr>
            <a:solidFill xmlns:a="http://schemas.openxmlformats.org/drawingml/2006/main">
              <a:srgbClr val="087F8C"/>
            </a:solidFill>
            <a:ln xmlns:a="http://schemas.openxmlformats.org/drawingml/2006/main" w="19050">
              <a:solidFill>
                <a:srgbClr val="087F8C"/>
              </a:solidFill>
              <a:prstDash val="solid"/>
            </a:ln>
          </c:spPr>
          <c:marker>
            <c:symbol val="none"/>
          </c:marker>
          <c:cat>
            <c:strRef>
              <c:f>'History'!$C$7:$C$19</c:f>
              <c:strCache>
                <c:ptCount val="0"/>
              </c:strCache>
            </c:strRef>
          </c:cat>
          <c:val>
            <c:numRef>
              <c:f>'History'!$K$7:$K$19</c:f>
              <c:numCache>
                <c:formatCode>#,##0.00;(#,##0.00);"-"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PAT margin</c:v>
          </c:tx>
          <c:spPr>
            <a:solidFill xmlns:a="http://schemas.openxmlformats.org/drawingml/2006/main">
              <a:srgbClr val="142D45"/>
            </a:solidFill>
            <a:ln xmlns:a="http://schemas.openxmlformats.org/drawingml/2006/main" w="19050">
              <a:solidFill>
                <a:srgbClr val="142D45"/>
              </a:solidFill>
              <a:prstDash val="solid"/>
            </a:ln>
          </c:spPr>
          <c:marker>
            <c:symbol val="none"/>
          </c:marker>
          <c:cat>
            <c:strRef>
              <c:f>'History'!$C$7:$C$19</c:f>
              <c:strCache>
                <c:ptCount val="0"/>
              </c:strCache>
            </c:strRef>
          </c:cat>
          <c:val>
            <c:numRef>
              <c:f>'History'!$L$7:$L$19</c:f>
              <c:numCache>
                <c:formatCode>#,##0.00;(#,##0.00);"-"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13</xdr:col>
      <xdr:colOff>0</xdr:colOff>
      <xdr:row>5</xdr:row>
      <xdr:rowOff>0</xdr:rowOff>
    </xdr:from>
    <xdr:to>
      <xdr:col>21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4557433b2a4f39"/>
        </a:graphicData>
      </a:graphic>
    </xdr:graphicFrame>
    <xdr:clientData/>
  </xdr:twoCellAnchor>
  <xdr:twoCellAnchor>
    <xdr:from>
      <xdr:col>13</xdr:col>
      <xdr:colOff>0</xdr:colOff>
      <xdr:row>22</xdr:row>
      <xdr:rowOff>0</xdr:rowOff>
    </xdr:from>
    <xdr:to>
      <xdr:col>21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e092cec3284ab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9b29330f340e49b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2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summary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"/>
      <x:c r="D6" s="1"/>
      <x:c r="E6" s="1"/>
      <x:c r="F6" s="1"/>
      <x:c r="G6" s="10" t="str">
        <x:v>Saved case</x:v>
      </x:c>
      <x:c r="H6" s="10" t="str">
        <x:v>Value per share</x:v>
      </x:c>
      <x:c r="I6" s="1"/>
      <x:c r="J6" s="1"/>
      <x:c r="K6" s="1"/>
      <x:c r="L6" s="1"/>
      <x:c r="M6" s="1"/>
    </x:row>
    <x:row r="7" ht="23" customHeight="1">
      <x:c r="C7" s="1" t="str">
        <x:v>Live value per share</x:v>
      </x:c>
      <x:c r="D7" s="30" t="n">
        <x:f>DCF!D34</x:f>
        <x:v>3441.1604106230257</x:v>
      </x:c>
      <x:c r="E7" s="2"/>
      <x:c r="F7" s="2"/>
      <x:c r="G7" s="2" t="str">
        <x:v>Base</x:v>
      </x:c>
      <x:c r="H7" s="2" t="n">
        <x:v>3441.1604106230257</x:v>
      </x:c>
      <x:c r="I7" s="2"/>
      <x:c r="J7" s="2"/>
      <x:c r="K7" s="2"/>
      <x:c r="L7" s="2"/>
      <x:c r="M7" s="2"/>
    </x:row>
    <x:row r="8" ht="23" customHeight="1">
      <x:c r="C8" s="1" t="str">
        <x:v>9 October 2026 NSE close</x:v>
      </x:c>
      <x:c r="D8" s="30" t="n">
        <x:f>Evidence!D9</x:f>
        <x:v>6942.5</x:v>
      </x:c>
      <x:c r="E8" s="2"/>
      <x:c r="F8" s="2"/>
      <x:c r="G8" s="2" t="str">
        <x:v>Downside</x:v>
      </x:c>
      <x:c r="H8" s="2" t="n">
        <x:v>1729.6042438266888</x:v>
      </x:c>
      <x:c r="I8" s="2"/>
      <x:c r="J8" s="2"/>
      <x:c r="K8" s="2"/>
      <x:c r="L8" s="2"/>
      <x:c r="M8" s="2"/>
    </x:row>
    <x:row r="9" ht="23" customHeight="1">
      <x:c r="C9" s="1" t="str">
        <x:v>Value / quoted price less 1</x:v>
      </x:c>
      <x:c r="D9" s="29" t="n">
        <x:f>D7/D8-1</x:f>
        <x:v>-0.5043341144223226</x:v>
      </x:c>
      <x:c r="E9" s="2"/>
      <x:c r="F9" s="2"/>
      <x:c r="G9" s="2" t="str">
        <x:v>Recovery</x:v>
      </x:c>
      <x:c r="H9" s="2" t="n">
        <x:v>5687.430649127539</x:v>
      </x:c>
      <x:c r="I9" s="2"/>
      <x:c r="J9" s="2"/>
      <x:c r="K9" s="2"/>
      <x:c r="L9" s="2"/>
      <x:c r="M9" s="2"/>
    </x:row>
    <x:row r="10" ht="23" customHeight="1">
      <x:c r="C10" s="1"/>
      <x:c r="D10" s="2"/>
      <x:c r="E10" s="2"/>
      <x:c r="F10" s="2"/>
      <x:c r="G10" s="2" t="str">
        <x:v>Optimistic stretch</x:v>
      </x:c>
      <x:c r="H10" s="2" t="n">
        <x:v>9002.717505057146</x:v>
      </x:c>
      <x:c r="I10" s="2"/>
      <x:c r="J10" s="2"/>
      <x:c r="K10" s="2"/>
      <x:c r="L10" s="2"/>
      <x:c r="M10" s="2"/>
    </x:row>
    <x:row r="11" ht="23" customHeight="1">
      <x:c r="C11" s="1" t="str">
        <x:v>Pad proxy: starting sales</x:v>
      </x:c>
      <x:c r="D11" s="28" t="n">
        <x:f>Evidence!D7*Assumptions!$D$10</x:f>
        <x:v>2759.1525</x:v>
      </x:c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C12" s="1" t="str">
        <x:v>Pad proxy: year-five sales</x:v>
      </x:c>
      <x:c r="D12" s="28" t="n">
        <x:f>SUM(Revenue!H12:H13)</x:f>
        <x:v>3891.4755137795396</x:v>
      </x:c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C13" s="1" t="str">
        <x:v>Company sales CAGR years 1-5</x:v>
      </x:c>
      <x:c r="D13" s="29" t="n">
        <x:f>(Revenue!H18/Evidence!D7)^(1/5)-1</x:f>
        <x:v>0.06305631503226206</x:v>
      </x:c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C14" s="1" t="str">
        <x:v>Year-one EBIT margin</x:v>
      </x:c>
      <x:c r="D14" s="29" t="n">
        <x:f>Expenses!D21</x:f>
        <x:v>0.23284608267960485</x:v>
      </x:c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3" customHeight="1">
      <x:c r="C15" s="1" t="str">
        <x:v>Year-ten EBIT margin</x:v>
      </x:c>
      <x:c r="D15" s="29" t="n">
        <x:f>Expenses!M21</x:f>
        <x:v>0.24693971867519804</x:v>
      </x:c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3" customHeight="1">
      <x:c r="C16" s="1" t="str">
        <x:v>Terminal share of enterprise value</x:v>
      </x:c>
      <x:c r="D16" s="29" t="n">
        <x:f>DCF!D35</x:f>
        <x:v>0.5015602051678257</x:v>
      </x:c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3" customHeight="1">
      <x:c r="C17" s="1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3" customHeight="1">
      <x:c r="C18" s="1" t="str">
        <x:v>Saved comparisons</x:v>
      </x:c>
      <x:c r="D18" s="28" t="str">
        <x:f>IF(SUM(Assumptions!N7:N55)=0,"Original inputs retained","Refresh snapshots and report")</x:f>
        <x:v>Original inputs retained</x:v>
      </x:c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C19" s="1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 t="str">
        <x:v>Blue cells are editable; case selector is on Assumptions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C23" s="1" t="str">
        <x:v>47%: 2025 menstrual-care retail value proxy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 t="str">
        <x:v>65%: rounded sanitary-napkin turnover disclosure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 t="str">
        <x:v>Latest results: June 2026; balance sheet: March 2026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 t="str">
        <x:v>Private review edition; assumptions remain conditional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assumptions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Case selected</x:v>
      </x:c>
      <x:c r="D3" s="6" t="str">
        <x:f>CHOOSE(D4,"Base","Downside","Recovery","Optimistic stretch")</x:f>
        <x:v>Base</x:v>
      </x:c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number: 1 Base, 2 Down, 3 Recovery, 4 Stretch</x:v>
      </x:c>
      <x:c r="D4" s="8" t="n">
        <x:v>1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Driver</x:v>
      </x:c>
      <x:c r="D6" s="10" t="str">
        <x:v>Active</x:v>
      </x:c>
      <x:c r="E6" s="10" t="str">
        <x:v>Base</x:v>
      </x:c>
      <x:c r="F6" s="10" t="str">
        <x:v>Downside</x:v>
      </x:c>
      <x:c r="G6" s="10" t="str">
        <x:v>Recovery</x:v>
      </x:c>
      <x:c r="H6" s="10" t="str">
        <x:v>Optimistic stretch</x:v>
      </x:c>
      <x:c r="I6" s="1"/>
      <x:c r="J6" s="10" t="str">
        <x:v>Saved base</x:v>
      </x:c>
      <x:c r="K6" s="10" t="str">
        <x:v>Saved downside</x:v>
      </x:c>
      <x:c r="L6" s="10" t="str">
        <x:v>Saved recovery</x:v>
      </x:c>
      <x:c r="M6" s="10" t="str">
        <x:v>Saved stretch</x:v>
      </x:c>
      <x:c r="N6" s="12" t="str">
        <x:v>Changed?</x:v>
      </x:c>
    </x:row>
    <x:row r="7" ht="23" customHeight="1">
      <x:c r="C7" s="1" t="str">
        <x:v>Starting retail value-share proxy</x:v>
      </x:c>
      <x:c r="D7" s="15" t="n">
        <x:f>IF(ISBLANK(INDEX(E7:H7,1,$D$4)),NA(),INDEX(E7:H7,1,$D$4))</x:f>
        <x:v>0.47</x:v>
      </x:c>
      <x:c r="E7" s="19" t="n">
        <x:v>0.47</x:v>
      </x:c>
      <x:c r="F7" s="19" t="n">
        <x:v>0.47</x:v>
      </x:c>
      <x:c r="G7" s="19" t="n">
        <x:v>0.47</x:v>
      </x:c>
      <x:c r="H7" s="19" t="n">
        <x:v>0.47</x:v>
      </x:c>
      <x:c r="I7" s="16"/>
      <x:c r="J7" s="16" t="n">
        <x:v>0.47</x:v>
      </x:c>
      <x:c r="K7" s="16" t="n">
        <x:v>0.47</x:v>
      </x:c>
      <x:c r="L7" s="16" t="n">
        <x:v>0.47</x:v>
      </x:c>
      <x:c r="M7" s="16" t="n">
        <x:v>0.47</x:v>
      </x:c>
      <x:c r="N7" s="14" t="n">
        <x:f>IF(AND(E7=J7,F7=K7,G7=L7,H7=M7),0,1)</x:f>
        <x:v>0</x:v>
      </x:c>
    </x:row>
    <x:row r="8" ht="23" customHeight="1">
      <x:c r="C8" s="1" t="str">
        <x:v>Share change by year 5 (pp)</x:v>
      </x:c>
      <x:c r="D8" s="15" t="n">
        <x:f>IF(ISBLANK(INDEX(E8:H8,1,$D$4)),NA(),INDEX(E8:H8,1,$D$4))</x:f>
        <x:v>0</x:v>
      </x:c>
      <x:c r="E8" s="19" t="n">
        <x:v>0</x:v>
      </x:c>
      <x:c r="F8" s="19" t="n">
        <x:v>-0.05</x:v>
      </x:c>
      <x:c r="G8" s="19" t="n">
        <x:v>0.05</x:v>
      </x:c>
      <x:c r="H8" s="19" t="n">
        <x:v>0.05</x:v>
      </x:c>
      <x:c r="I8" s="16"/>
      <x:c r="J8" s="16" t="n">
        <x:v>0</x:v>
      </x:c>
      <x:c r="K8" s="16" t="n">
        <x:v>-0.05</x:v>
      </x:c>
      <x:c r="L8" s="16" t="n">
        <x:v>0.05</x:v>
      </x:c>
      <x:c r="M8" s="16" t="n">
        <x:v>0.05</x:v>
      </x:c>
      <x:c r="N8" s="14" t="n">
        <x:f>IF(AND(E8=J8,F8=K8,G8=L8,H8=M8),0,1)</x:f>
        <x:v>0</x:v>
      </x:c>
    </x:row>
    <x:row r="9" ht="23" customHeight="1">
      <x:c r="C9" s="1" t="str">
        <x:v>Temporary share dip (pp)</x:v>
      </x:c>
      <x:c r="D9" s="15" t="n">
        <x:f>IF(ISBLANK(INDEX(E9:H9,1,$D$4)),NA(),INDEX(E9:H9,1,$D$4))</x:f>
        <x:v>0.015</x:v>
      </x:c>
      <x:c r="E9" s="19" t="n">
        <x:v>0.015</x:v>
      </x:c>
      <x:c r="F9" s="19" t="n">
        <x:v>0.02</x:v>
      </x:c>
      <x:c r="G9" s="19" t="n">
        <x:v>0</x:v>
      </x:c>
      <x:c r="H9" s="19" t="n">
        <x:v>0</x:v>
      </x:c>
      <x:c r="I9" s="16"/>
      <x:c r="J9" s="16" t="n">
        <x:v>0.015</x:v>
      </x:c>
      <x:c r="K9" s="16" t="n">
        <x:v>0.02</x:v>
      </x:c>
      <x:c r="L9" s="16" t="n">
        <x:v>0</x:v>
      </x:c>
      <x:c r="M9" s="16" t="n">
        <x:v>0</x:v>
      </x:c>
      <x:c r="N9" s="14" t="n">
        <x:f>IF(AND(E9=J9,F9=K9,G9=L9,H9=M9),0,1)</x:f>
        <x:v>0</x:v>
      </x:c>
    </x:row>
    <x:row r="10" ht="23" customHeight="1">
      <x:c r="C10" s="1" t="str">
        <x:v>Sanitary napkin share of PGHH sales</x:v>
      </x:c>
      <x:c r="D10" s="15" t="n">
        <x:f>IF(ISBLANK(INDEX(E10:H10,1,$D$4)),NA(),INDEX(E10:H10,1,$D$4))</x:f>
        <x:v>0.65</x:v>
      </x:c>
      <x:c r="E10" s="19" t="n">
        <x:v>0.65</x:v>
      </x:c>
      <x:c r="F10" s="19" t="n">
        <x:v>0.65</x:v>
      </x:c>
      <x:c r="G10" s="19" t="n">
        <x:v>0.65</x:v>
      </x:c>
      <x:c r="H10" s="19" t="n">
        <x:v>0.65</x:v>
      </x:c>
      <x:c r="I10" s="16"/>
      <x:c r="J10" s="16" t="n">
        <x:v>0.65</x:v>
      </x:c>
      <x:c r="K10" s="16" t="n">
        <x:v>0.65</x:v>
      </x:c>
      <x:c r="L10" s="16" t="n">
        <x:v>0.65</x:v>
      </x:c>
      <x:c r="M10" s="16" t="n">
        <x:v>0.65</x:v>
      </x:c>
      <x:c r="N10" s="14" t="n">
        <x:f>IF(AND(E10=J10,F10=K10,G10=L10,H10=M10),0,1)</x:f>
        <x:v>0</x:v>
      </x:c>
    </x:row>
    <x:row r="11" ht="23" customHeight="1">
      <x:c r="C11" s="1" t="str">
        <x:v>Export fraction of pad proxy</x:v>
      </x:c>
      <x:c r="D11" s="15" t="n">
        <x:f>IF(ISBLANK(INDEX(E11:H11,1,$D$4)),NA(),INDEX(E11:H11,1,$D$4))</x:f>
        <x:v>0.0319</x:v>
      </x:c>
      <x:c r="E11" s="19" t="n">
        <x:v>0.0319</x:v>
      </x:c>
      <x:c r="F11" s="19" t="n">
        <x:v>0.0319</x:v>
      </x:c>
      <x:c r="G11" s="19" t="n">
        <x:v>0.0319</x:v>
      </x:c>
      <x:c r="H11" s="19" t="n">
        <x:v>0.0319</x:v>
      </x:c>
      <x:c r="I11" s="16"/>
      <x:c r="J11" s="16" t="n">
        <x:v>0.0319</x:v>
      </x:c>
      <x:c r="K11" s="16" t="n">
        <x:v>0.0319</x:v>
      </x:c>
      <x:c r="L11" s="16" t="n">
        <x:v>0.0319</x:v>
      </x:c>
      <x:c r="M11" s="16" t="n">
        <x:v>0.0319</x:v>
      </x:c>
      <x:c r="N11" s="14" t="n">
        <x:f>IF(AND(E11=J11,F11=K11,G11=L11,H11=M11),0,1)</x:f>
        <x:v>0</x:v>
      </x:c>
    </x:row>
    <x:row r="12" ht="23" customHeight="1">
      <x:c r="C12" s="1" t="str">
        <x:v>Real per-capita income growth</x:v>
      </x:c>
      <x:c r="D12" s="15" t="n">
        <x:f>IF(ISBLANK(INDEX(E12:H12,1,$D$4)),NA(),INDEX(E12:H12,1,$D$4))</x:f>
        <x:v>0.05</x:v>
      </x:c>
      <x:c r="E12" s="19" t="n">
        <x:v>0.05</x:v>
      </x:c>
      <x:c r="F12" s="19" t="n">
        <x:v>0.03</x:v>
      </x:c>
      <x:c r="G12" s="19" t="n">
        <x:v>0.065</x:v>
      </x:c>
      <x:c r="H12" s="19" t="n">
        <x:v>0.07</x:v>
      </x:c>
      <x:c r="I12" s="16"/>
      <x:c r="J12" s="16" t="n">
        <x:v>0.05</x:v>
      </x:c>
      <x:c r="K12" s="16" t="n">
        <x:v>0.03</x:v>
      </x:c>
      <x:c r="L12" s="16" t="n">
        <x:v>0.065</x:v>
      </x:c>
      <x:c r="M12" s="16" t="n">
        <x:v>0.07</x:v>
      </x:c>
      <x:c r="N12" s="14" t="n">
        <x:f>IF(AND(E12=J12,F12=K12,G12=L12,H12=M12),0,1)</x:f>
        <x:v>0</x:v>
      </x:c>
    </x:row>
    <x:row r="13" ht="23" customHeight="1">
      <x:c r="C13" s="1" t="str">
        <x:v>Income elasticity (assumed)</x:v>
      </x:c>
      <x:c r="D13" s="13" t="n">
        <x:f>IF(ISBLANK(INDEX(E13:H13,1,$D$4)),NA(),INDEX(E13:H13,1,$D$4))</x:f>
        <x:v>0.65</x:v>
      </x:c>
      <x:c r="E13" s="20" t="n">
        <x:v>0.65</x:v>
      </x:c>
      <x:c r="F13" s="20" t="n">
        <x:v>0.5</x:v>
      </x:c>
      <x:c r="G13" s="20" t="n">
        <x:v>0.8</x:v>
      </x:c>
      <x:c r="H13" s="20" t="n">
        <x:v>0.95</x:v>
      </x:c>
      <x:c r="I13" s="2"/>
      <x:c r="J13" s="2" t="n">
        <x:v>0.65</x:v>
      </x:c>
      <x:c r="K13" s="2" t="n">
        <x:v>0.5</x:v>
      </x:c>
      <x:c r="L13" s="2" t="n">
        <x:v>0.8</x:v>
      </x:c>
      <x:c r="M13" s="2" t="n">
        <x:v>0.95</x:v>
      </x:c>
      <x:c r="N13" s="14" t="n">
        <x:f>IF(AND(E13=J13,F13=K13,G13=L13,H13=M13),0,1)</x:f>
        <x:v>0</x:v>
      </x:c>
    </x:row>
    <x:row r="14" ht="23" customHeight="1">
      <x:c r="C14" s="1" t="str">
        <x:v>Residual adoption / usage growth</x:v>
      </x:c>
      <x:c r="D14" s="15" t="n">
        <x:f>IF(ISBLANK(INDEX(E14:H14,1,$D$4)),NA(),INDEX(E14:H14,1,$D$4))</x:f>
        <x:v>0.02</x:v>
      </x:c>
      <x:c r="E14" s="19" t="n">
        <x:v>0.02</x:v>
      </x:c>
      <x:c r="F14" s="19" t="n">
        <x:v>0.01</x:v>
      </x:c>
      <x:c r="G14" s="19" t="n">
        <x:v>0.02</x:v>
      </x:c>
      <x:c r="H14" s="19" t="n">
        <x:v>0.025</x:v>
      </x:c>
      <x:c r="I14" s="16"/>
      <x:c r="J14" s="16" t="n">
        <x:v>0.02</x:v>
      </x:c>
      <x:c r="K14" s="16" t="n">
        <x:v>0.01</x:v>
      </x:c>
      <x:c r="L14" s="16" t="n">
        <x:v>0.02</x:v>
      </x:c>
      <x:c r="M14" s="16" t="n">
        <x:v>0.025</x:v>
      </x:c>
      <x:c r="N14" s="14" t="n">
        <x:f>IF(AND(E14=J14,F14=K14,G14=L14,H14=M14),0,1)</x:f>
        <x:v>0</x:v>
      </x:c>
    </x:row>
    <x:row r="15" ht="23" customHeight="1">
      <x:c r="C15" s="1" t="str">
        <x:v>Relevant population growth</x:v>
      </x:c>
      <x:c r="D15" s="15" t="n">
        <x:f>IF(ISBLANK(INDEX(E15:H15,1,$D$4)),NA(),INDEX(E15:H15,1,$D$4))</x:f>
        <x:v>0.005</x:v>
      </x:c>
      <x:c r="E15" s="19" t="n">
        <x:v>0.005</x:v>
      </x:c>
      <x:c r="F15" s="19" t="n">
        <x:v>0.005</x:v>
      </x:c>
      <x:c r="G15" s="19" t="n">
        <x:v>0.005</x:v>
      </x:c>
      <x:c r="H15" s="19" t="n">
        <x:v>0.005</x:v>
      </x:c>
      <x:c r="I15" s="16"/>
      <x:c r="J15" s="16" t="n">
        <x:v>0.005</x:v>
      </x:c>
      <x:c r="K15" s="16" t="n">
        <x:v>0.005</x:v>
      </x:c>
      <x:c r="L15" s="16" t="n">
        <x:v>0.005</x:v>
      </x:c>
      <x:c r="M15" s="16" t="n">
        <x:v>0.005</x:v>
      </x:c>
      <x:c r="N15" s="14" t="n">
        <x:f>IF(AND(E15=J15,F15=K15,G15=L15,H15=M15),0,1)</x:f>
        <x:v>0</x:v>
      </x:c>
    </x:row>
    <x:row r="16" ht="23" customHeight="1">
      <x:c r="C16" s="1" t="str">
        <x:v>Category price / mix growth</x:v>
      </x:c>
      <x:c r="D16" s="15" t="n">
        <x:f>IF(ISBLANK(INDEX(E16:H16,1,$D$4)),NA(),INDEX(E16:H16,1,$D$4))</x:f>
        <x:v>0.02</x:v>
      </x:c>
      <x:c r="E16" s="19" t="n">
        <x:v>0.02</x:v>
      </x:c>
      <x:c r="F16" s="19" t="n">
        <x:v>0.02</x:v>
      </x:c>
      <x:c r="G16" s="19" t="n">
        <x:v>0.02</x:v>
      </x:c>
      <x:c r="H16" s="19" t="n">
        <x:v>0.02</x:v>
      </x:c>
      <x:c r="I16" s="16"/>
      <x:c r="J16" s="16" t="n">
        <x:v>0.02</x:v>
      </x:c>
      <x:c r="K16" s="16" t="n">
        <x:v>0.02</x:v>
      </x:c>
      <x:c r="L16" s="16" t="n">
        <x:v>0.02</x:v>
      </x:c>
      <x:c r="M16" s="16" t="n">
        <x:v>0.02</x:v>
      </x:c>
      <x:c r="N16" s="14" t="n">
        <x:f>IF(AND(E16=J16,F16=K16,G16=L16,H16=M16),0,1)</x:f>
        <x:v>0</x:v>
      </x:c>
    </x:row>
    <x:row r="17" ht="23" customHeight="1">
      <x:c r="C17" s="1" t="str">
        <x:v>Demand elasticity to extra pricing</x:v>
      </x:c>
      <x:c r="D17" s="13" t="n">
        <x:f>IF(ISBLANK(INDEX(E17:H17,1,$D$4)),NA(),INDEX(E17:H17,1,$D$4))</x:f>
        <x:v>0.5</x:v>
      </x:c>
      <x:c r="E17" s="20" t="n">
        <x:v>0.5</x:v>
      </x:c>
      <x:c r="F17" s="20" t="n">
        <x:v>0.5</x:v>
      </x:c>
      <x:c r="G17" s="20" t="n">
        <x:v>0.5</x:v>
      </x:c>
      <x:c r="H17" s="20" t="n">
        <x:v>0.5</x:v>
      </x:c>
      <x:c r="I17" s="2"/>
      <x:c r="J17" s="2" t="n">
        <x:v>0.5</x:v>
      </x:c>
      <x:c r="K17" s="2" t="n">
        <x:v>0.5</x:v>
      </x:c>
      <x:c r="L17" s="2" t="n">
        <x:v>0.5</x:v>
      </x:c>
      <x:c r="M17" s="2" t="n">
        <x:v>0.5</x:v>
      </x:c>
      <x:c r="N17" s="14" t="n">
        <x:f>IF(AND(E17=J17,F17=K17,G17=L17,H17=M17),0,1)</x:f>
        <x:v>0</x:v>
      </x:c>
    </x:row>
    <x:row r="18" ht="23" customHeight="1">
      <x:c r="C18" s="1" t="str">
        <x:v>Category growth year 1</x:v>
      </x:c>
      <x:c r="D18" s="15" t="n">
        <x:f>IF(ISBLANK(INDEX(E18:H18,1,$D$4)),NA(),INDEX(E18:H18,1,$D$4))</x:f>
        <x:v>0.06</x:v>
      </x:c>
      <x:c r="E18" s="19" t="n">
        <x:v>0.06</x:v>
      </x:c>
      <x:c r="F18" s="19" t="n">
        <x:v>0.04</x:v>
      </x:c>
      <x:c r="G18" s="19" t="n">
        <x:v>0.08</x:v>
      </x:c>
      <x:c r="H18" s="19" t="n">
        <x:v>0.1</x:v>
      </x:c>
      <x:c r="I18" s="16"/>
      <x:c r="J18" s="16" t="n">
        <x:v>0.06</x:v>
      </x:c>
      <x:c r="K18" s="16" t="n">
        <x:v>0.04</x:v>
      </x:c>
      <x:c r="L18" s="16" t="n">
        <x:v>0.08</x:v>
      </x:c>
      <x:c r="M18" s="16" t="n">
        <x:v>0.1</x:v>
      </x:c>
      <x:c r="N18" s="14" t="n">
        <x:f>IF(AND(E18=J18,F18=K18,G18=L18,H18=M18),0,1)</x:f>
        <x:v>0</x:v>
      </x:c>
    </x:row>
    <x:row r="19" ht="23" customHeight="1">
      <x:c r="C19" s="1" t="str">
        <x:v>Producer / retail capture change by Y3</x:v>
      </x:c>
      <x:c r="D19" s="15" t="n">
        <x:f>IF(ISBLANK(INDEX(E19:H19,1,$D$4)),NA(),INDEX(E19:H19,1,$D$4))</x:f>
        <x:v>-0.015</x:v>
      </x:c>
      <x:c r="E19" s="19" t="n">
        <x:v>-0.015</x:v>
      </x:c>
      <x:c r="F19" s="19" t="n">
        <x:v>-0.04</x:v>
      </x:c>
      <x:c r="G19" s="19" t="n">
        <x:v>0</x:v>
      </x:c>
      <x:c r="H19" s="19" t="n">
        <x:v>0.02</x:v>
      </x:c>
      <x:c r="I19" s="16"/>
      <x:c r="J19" s="16" t="n">
        <x:v>-0.015</x:v>
      </x:c>
      <x:c r="K19" s="16" t="n">
        <x:v>-0.04</x:v>
      </x:c>
      <x:c r="L19" s="16" t="n">
        <x:v>0</x:v>
      </x:c>
      <x:c r="M19" s="16" t="n">
        <x:v>0.02</x:v>
      </x:c>
      <x:c r="N19" s="14" t="n">
        <x:f>IF(AND(E19=J19,F19=K19,G19=L19,H19=M19),0,1)</x:f>
        <x:v>0</x:v>
      </x:c>
    </x:row>
    <x:row r="20" ht="23" customHeight="1">
      <x:c r="C20" s="1" t="str">
        <x:v>Pad export growth Y1-5</x:v>
      </x:c>
      <x:c r="D20" s="15" t="n">
        <x:f>IF(ISBLANK(INDEX(E20:H20,1,$D$4)),NA(),INDEX(E20:H20,1,$D$4))</x:f>
        <x:v>0.04</x:v>
      </x:c>
      <x:c r="E20" s="19" t="n">
        <x:v>0.04</x:v>
      </x:c>
      <x:c r="F20" s="19" t="n">
        <x:v>0.04</x:v>
      </x:c>
      <x:c r="G20" s="19" t="n">
        <x:v>0.04</x:v>
      </x:c>
      <x:c r="H20" s="19" t="n">
        <x:v>0.04</x:v>
      </x:c>
      <x:c r="I20" s="16"/>
      <x:c r="J20" s="16" t="n">
        <x:v>0.04</x:v>
      </x:c>
      <x:c r="K20" s="16" t="n">
        <x:v>0.04</x:v>
      </x:c>
      <x:c r="L20" s="16" t="n">
        <x:v>0.04</x:v>
      </x:c>
      <x:c r="M20" s="16" t="n">
        <x:v>0.04</x:v>
      </x:c>
      <x:c r="N20" s="14" t="n">
        <x:f>IF(AND(E20=J20,F20=K20,G20=L20,H20=M20),0,1)</x:f>
        <x:v>0</x:v>
      </x:c>
    </x:row>
    <x:row r="21" ht="23" customHeight="1">
      <x:c r="C21" s="1" t="str">
        <x:v>Rubs growth Y1-5</x:v>
      </x:c>
      <x:c r="D21" s="15" t="n">
        <x:f>IF(ISBLANK(INDEX(E21:H21,1,$D$4)),NA(),INDEX(E21:H21,1,$D$4))</x:f>
        <x:v>0.04</x:v>
      </x:c>
      <x:c r="E21" s="19" t="n">
        <x:v>0.04</x:v>
      </x:c>
      <x:c r="F21" s="19" t="n">
        <x:v>0</x:v>
      </x:c>
      <x:c r="G21" s="19" t="n">
        <x:v>0.07</x:v>
      </x:c>
      <x:c r="H21" s="19" t="n">
        <x:v>0.1</x:v>
      </x:c>
      <x:c r="I21" s="16"/>
      <x:c r="J21" s="16" t="n">
        <x:v>0.04</x:v>
      </x:c>
      <x:c r="K21" s="16" t="n">
        <x:v>0</x:v>
      </x:c>
      <x:c r="L21" s="16" t="n">
        <x:v>0.07</x:v>
      </x:c>
      <x:c r="M21" s="16" t="n">
        <x:v>0.1</x:v>
      </x:c>
      <x:c r="N21" s="14" t="n">
        <x:f>IF(AND(E21=J21,F21=K21,G21=L21,H21=M21),0,1)</x:f>
        <x:v>0</x:v>
      </x:c>
    </x:row>
    <x:row r="22" ht="23" customHeight="1">
      <x:c r="C22" s="1" t="str">
        <x:v>Cough drops growth Y1-5</x:v>
      </x:c>
      <x:c r="D22" s="15" t="n">
        <x:f>IF(ISBLANK(INDEX(E22:H22,1,$D$4)),NA(),INDEX(E22:H22,1,$D$4))</x:f>
        <x:v>0.07</x:v>
      </x:c>
      <x:c r="E22" s="19" t="n">
        <x:v>0.07</x:v>
      </x:c>
      <x:c r="F22" s="19" t="n">
        <x:v>0.02</x:v>
      </x:c>
      <x:c r="G22" s="19" t="n">
        <x:v>0.1</x:v>
      </x:c>
      <x:c r="H22" s="19" t="n">
        <x:v>0.12</x:v>
      </x:c>
      <x:c r="I22" s="16"/>
      <x:c r="J22" s="16" t="n">
        <x:v>0.07</x:v>
      </x:c>
      <x:c r="K22" s="16" t="n">
        <x:v>0.02</x:v>
      </x:c>
      <x:c r="L22" s="16" t="n">
        <x:v>0.1</x:v>
      </x:c>
      <x:c r="M22" s="16" t="n">
        <x:v>0.12</x:v>
      </x:c>
      <x:c r="N22" s="14" t="n">
        <x:f>IF(AND(E22=J22,F22=K22,G22=L22,H22=M22),0,1)</x:f>
        <x:v>0</x:v>
      </x:c>
    </x:row>
    <x:row r="23" ht="23" customHeight="1">
      <x:c r="C23" s="1" t="str">
        <x:v>Tablets growth Y1-5</x:v>
      </x:c>
      <x:c r="D23" s="15" t="n">
        <x:f>IF(ISBLANK(INDEX(E23:H23,1,$D$4)),NA(),INDEX(E23:H23,1,$D$4))</x:f>
        <x:v>0.03</x:v>
      </x:c>
      <x:c r="E23" s="19" t="n">
        <x:v>0.03</x:v>
      </x:c>
      <x:c r="F23" s="19" t="n">
        <x:v>0</x:v>
      </x:c>
      <x:c r="G23" s="19" t="n">
        <x:v>0.06</x:v>
      </x:c>
      <x:c r="H23" s="19" t="n">
        <x:v>0.08</x:v>
      </x:c>
      <x:c r="I23" s="16"/>
      <x:c r="J23" s="16" t="n">
        <x:v>0.03</x:v>
      </x:c>
      <x:c r="K23" s="16" t="n">
        <x:v>0</x:v>
      </x:c>
      <x:c r="L23" s="16" t="n">
        <x:v>0.06</x:v>
      </x:c>
      <x:c r="M23" s="16" t="n">
        <x:v>0.08</x:v>
      </x:c>
      <x:c r="N23" s="14" t="n">
        <x:f>IF(AND(E23=J23,F23=K23,G23=L23,H23=M23),0,1)</x:f>
        <x:v>0</x:v>
      </x:c>
    </x:row>
    <x:row r="24" ht="23" customHeight="1">
      <x:c r="C24" s="1" t="str">
        <x:v>Residual hygiene growth Y1-5</x:v>
      </x:c>
      <x:c r="D24" s="15" t="n">
        <x:f>IF(ISBLANK(INDEX(E24:H24,1,$D$4)),NA(),INDEX(E24:H24,1,$D$4))</x:f>
        <x:v>0.04</x:v>
      </x:c>
      <x:c r="E24" s="19" t="n">
        <x:v>0.04</x:v>
      </x:c>
      <x:c r="F24" s="19" t="n">
        <x:v>0</x:v>
      </x:c>
      <x:c r="G24" s="19" t="n">
        <x:v>0.06</x:v>
      </x:c>
      <x:c r="H24" s="19" t="n">
        <x:v>0.08</x:v>
      </x:c>
      <x:c r="I24" s="16"/>
      <x:c r="J24" s="16" t="n">
        <x:v>0.04</x:v>
      </x:c>
      <x:c r="K24" s="16" t="n">
        <x:v>0</x:v>
      </x:c>
      <x:c r="L24" s="16" t="n">
        <x:v>0.06</x:v>
      </x:c>
      <x:c r="M24" s="16" t="n">
        <x:v>0.08</x:v>
      </x:c>
      <x:c r="N24" s="14" t="n">
        <x:f>IF(AND(E24=J24,F24=K24,G24=L24,H24=M24),0,1)</x:f>
        <x:v>0</x:v>
      </x:c>
    </x:row>
    <x:row r="25" ht="23" customHeight="1">
      <x:c r="C25" s="1" t="str">
        <x:v>Incremental oil level shock</x:v>
      </x:c>
      <x:c r="D25" s="15" t="n">
        <x:f>IF(ISBLANK(INDEX(E25:H25,1,$D$4)),NA(),INDEX(E25:H25,1,$D$4))</x:f>
        <x:v>0.1</x:v>
      </x:c>
      <x:c r="E25" s="19" t="n">
        <x:v>0.1</x:v>
      </x:c>
      <x:c r="F25" s="19" t="n">
        <x:v>0.3</x:v>
      </x:c>
      <x:c r="G25" s="19" t="n">
        <x:v>0</x:v>
      </x:c>
      <x:c r="H25" s="19" t="n">
        <x:v>0</x:v>
      </x:c>
      <x:c r="I25" s="16"/>
      <x:c r="J25" s="16" t="n">
        <x:v>0.1</x:v>
      </x:c>
      <x:c r="K25" s="16" t="n">
        <x:v>0.3</x:v>
      </x:c>
      <x:c r="L25" s="16" t="n">
        <x:v>0</x:v>
      </x:c>
      <x:c r="M25" s="16" t="n">
        <x:v>0</x:v>
      </x:c>
      <x:c r="N25" s="14" t="n">
        <x:f>IF(AND(E25=J25,F25=K25,G25=L25,H25=M25),0,1)</x:f>
        <x:v>0</x:v>
      </x:c>
    </x:row>
    <x:row r="26" ht="23" customHeight="1">
      <x:c r="C26" s="1" t="str">
        <x:v>Incremental pulp level shock</x:v>
      </x:c>
      <x:c r="D26" s="15" t="n">
        <x:f>IF(ISBLANK(INDEX(E26:H26,1,$D$4)),NA(),INDEX(E26:H26,1,$D$4))</x:f>
        <x:v>0</x:v>
      </x:c>
      <x:c r="E26" s="19" t="n">
        <x:v>0</x:v>
      </x:c>
      <x:c r="F26" s="19" t="n">
        <x:v>0</x:v>
      </x:c>
      <x:c r="G26" s="19" t="n">
        <x:v>0</x:v>
      </x:c>
      <x:c r="H26" s="19" t="n">
        <x:v>0</x:v>
      </x:c>
      <x:c r="I26" s="16"/>
      <x:c r="J26" s="16" t="n">
        <x:v>0</x:v>
      </x:c>
      <x:c r="K26" s="16" t="n">
        <x:v>0</x:v>
      </x:c>
      <x:c r="L26" s="16" t="n">
        <x:v>0</x:v>
      </x:c>
      <x:c r="M26" s="16" t="n">
        <x:v>0</x:v>
      </x:c>
      <x:c r="N26" s="14" t="n">
        <x:f>IF(AND(E26=J26,F26=K26,G26=L26,H26=M26),0,1)</x:f>
        <x:v>0</x:v>
      </x:c>
    </x:row>
    <x:row r="27" ht="23" customHeight="1">
      <x:c r="C27" s="1" t="str">
        <x:v>Incremental INR depreciation</x:v>
      </x:c>
      <x:c r="D27" s="15" t="n">
        <x:f>IF(ISBLANK(INDEX(E27:H27,1,$D$4)),NA(),INDEX(E27:H27,1,$D$4))</x:f>
        <x:v>0.03</x:v>
      </x:c>
      <x:c r="E27" s="19" t="n">
        <x:v>0.03</x:v>
      </x:c>
      <x:c r="F27" s="19" t="n">
        <x:v>0.06</x:v>
      </x:c>
      <x:c r="G27" s="19" t="n">
        <x:v>0</x:v>
      </x:c>
      <x:c r="H27" s="19" t="n">
        <x:v>0</x:v>
      </x:c>
      <x:c r="I27" s="16"/>
      <x:c r="J27" s="16" t="n">
        <x:v>0.03</x:v>
      </x:c>
      <x:c r="K27" s="16" t="n">
        <x:v>0.06</x:v>
      </x:c>
      <x:c r="L27" s="16" t="n">
        <x:v>0</x:v>
      </x:c>
      <x:c r="M27" s="16" t="n">
        <x:v>0</x:v>
      </x:c>
      <x:c r="N27" s="14" t="n">
        <x:f>IF(AND(E27=J27,F27=K27,G27=L27,H27=M27),0,1)</x:f>
        <x:v>0</x:v>
      </x:c>
    </x:row>
    <x:row r="28" ht="23" customHeight="1">
      <x:c r="C28" s="1" t="str">
        <x:v>Incremental freight level shock</x:v>
      </x:c>
      <x:c r="D28" s="15" t="n">
        <x:f>IF(ISBLANK(INDEX(E28:H28,1,$D$4)),NA(),INDEX(E28:H28,1,$D$4))</x:f>
        <x:v>0.1</x:v>
      </x:c>
      <x:c r="E28" s="19" t="n">
        <x:v>0.1</x:v>
      </x:c>
      <x:c r="F28" s="19" t="n">
        <x:v>0.1</x:v>
      </x:c>
      <x:c r="G28" s="19" t="n">
        <x:v>0</x:v>
      </x:c>
      <x:c r="H28" s="19" t="n">
        <x:v>0</x:v>
      </x:c>
      <x:c r="I28" s="16"/>
      <x:c r="J28" s="16" t="n">
        <x:v>0.1</x:v>
      </x:c>
      <x:c r="K28" s="16" t="n">
        <x:v>0.1</x:v>
      </x:c>
      <x:c r="L28" s="16" t="n">
        <x:v>0</x:v>
      </x:c>
      <x:c r="M28" s="16" t="n">
        <x:v>0</x:v>
      </x:c>
      <x:c r="N28" s="14" t="n">
        <x:f>IF(AND(E28=J28,F28=K28,G28=L28,H28=M28),0,1)</x:f>
        <x:v>0</x:v>
      </x:c>
    </x:row>
    <x:row r="29" ht="23" customHeight="1">
      <x:c r="C29" s="1" t="str">
        <x:v>Cost mitigation fraction</x:v>
      </x:c>
      <x:c r="D29" s="15" t="n">
        <x:f>IF(ISBLANK(INDEX(E29:H29,1,$D$4)),NA(),INDEX(E29:H29,1,$D$4))</x:f>
        <x:v>0.5</x:v>
      </x:c>
      <x:c r="E29" s="19" t="n">
        <x:v>0.5</x:v>
      </x:c>
      <x:c r="F29" s="19" t="n">
        <x:v>0.25</x:v>
      </x:c>
      <x:c r="G29" s="19" t="n">
        <x:v>0.5</x:v>
      </x:c>
      <x:c r="H29" s="19" t="n">
        <x:v>0.5</x:v>
      </x:c>
      <x:c r="I29" s="16"/>
      <x:c r="J29" s="16" t="n">
        <x:v>0.5</x:v>
      </x:c>
      <x:c r="K29" s="16" t="n">
        <x:v>0.25</x:v>
      </x:c>
      <x:c r="L29" s="16" t="n">
        <x:v>0.5</x:v>
      </x:c>
      <x:c r="M29" s="16" t="n">
        <x:v>0.5</x:v>
      </x:c>
      <x:c r="N29" s="14" t="n">
        <x:f>IF(AND(E29=J29,F29=K29,G29=L29,H29=M29),0,1)</x:f>
        <x:v>0</x:v>
      </x:c>
    </x:row>
    <x:row r="30" ht="23" customHeight="1">
      <x:c r="C30" s="1" t="str">
        <x:v>Years of temporary cost shock</x:v>
      </x:c>
      <x:c r="D30" s="13" t="n">
        <x:f>IF(ISBLANK(INDEX(E30:H30,1,$D$4)),NA(),INDEX(E30:H30,1,$D$4))</x:f>
        <x:v>4</x:v>
      </x:c>
      <x:c r="E30" s="20" t="n">
        <x:v>4</x:v>
      </x:c>
      <x:c r="F30" s="20" t="n">
        <x:v>4</x:v>
      </x:c>
      <x:c r="G30" s="20" t="n">
        <x:v>4</x:v>
      </x:c>
      <x:c r="H30" s="20" t="n">
        <x:v>4</x:v>
      </x:c>
      <x:c r="I30" s="2"/>
      <x:c r="J30" s="2" t="n">
        <x:v>4</x:v>
      </x:c>
      <x:c r="K30" s="2" t="n">
        <x:v>4</x:v>
      </x:c>
      <x:c r="L30" s="2" t="n">
        <x:v>4</x:v>
      </x:c>
      <x:c r="M30" s="2" t="n">
        <x:v>4</x:v>
      </x:c>
      <x:c r="N30" s="14" t="n">
        <x:f>IF(AND(E30=J30,F30=K30,G30=L30,H30=M30),0,1)</x:f>
        <x:v>0</x:v>
      </x:c>
    </x:row>
    <x:row r="31" ht="23" customHeight="1">
      <x:c r="C31" s="1" t="str">
        <x:v>Permanent fraction of cost shock</x:v>
      </x:c>
      <x:c r="D31" s="15" t="n">
        <x:f>IF(ISBLANK(INDEX(E31:H31,1,$D$4)),NA(),INDEX(E31:H31,1,$D$4))</x:f>
        <x:v>0.25</x:v>
      </x:c>
      <x:c r="E31" s="19" t="n">
        <x:v>0.25</x:v>
      </x:c>
      <x:c r="F31" s="19" t="n">
        <x:v>0.75</x:v>
      </x:c>
      <x:c r="G31" s="19" t="n">
        <x:v>0</x:v>
      </x:c>
      <x:c r="H31" s="19" t="n">
        <x:v>0.25</x:v>
      </x:c>
      <x:c r="I31" s="16"/>
      <x:c r="J31" s="16" t="n">
        <x:v>0.25</x:v>
      </x:c>
      <x:c r="K31" s="16" t="n">
        <x:v>0.75</x:v>
      </x:c>
      <x:c r="L31" s="16" t="n">
        <x:v>0</x:v>
      </x:c>
      <x:c r="M31" s="16" t="n">
        <x:v>0.25</x:v>
      </x:c>
      <x:c r="N31" s="14" t="n">
        <x:f>IF(AND(E31=J31,F31=K31,G31=L31,H31=M31),0,1)</x:f>
        <x:v>0</x:v>
      </x:c>
    </x:row>
    <x:row r="32" ht="23" customHeight="1">
      <x:c r="C32" s="1" t="str">
        <x:v>Fixed employee cost inflation</x:v>
      </x:c>
      <x:c r="D32" s="15" t="n">
        <x:f>IF(ISBLANK(INDEX(E32:H32,1,$D$4)),NA(),INDEX(E32:H32,1,$D$4))</x:f>
        <x:v>0.05</x:v>
      </x:c>
      <x:c r="E32" s="19" t="n">
        <x:v>0.05</x:v>
      </x:c>
      <x:c r="F32" s="19" t="n">
        <x:v>0.05</x:v>
      </x:c>
      <x:c r="G32" s="19" t="n">
        <x:v>0.05</x:v>
      </x:c>
      <x:c r="H32" s="19" t="n">
        <x:v>0.05</x:v>
      </x:c>
      <x:c r="I32" s="16"/>
      <x:c r="J32" s="16" t="n">
        <x:v>0.05</x:v>
      </x:c>
      <x:c r="K32" s="16" t="n">
        <x:v>0.05</x:v>
      </x:c>
      <x:c r="L32" s="16" t="n">
        <x:v>0.05</x:v>
      </x:c>
      <x:c r="M32" s="16" t="n">
        <x:v>0.05</x:v>
      </x:c>
      <x:c r="N32" s="14" t="n">
        <x:f>IF(AND(E32=J32,F32=K32,G32=L32,H32=M32),0,1)</x:f>
        <x:v>0</x:v>
      </x:c>
    </x:row>
    <x:row r="33" ht="23" customHeight="1">
      <x:c r="C33" s="1" t="str">
        <x:v>Fixed BPO inflation</x:v>
      </x:c>
      <x:c r="D33" s="15" t="n">
        <x:f>IF(ISBLANK(INDEX(E33:H33,1,$D$4)),NA(),INDEX(E33:H33,1,$D$4))</x:f>
        <x:v>0.05</x:v>
      </x:c>
      <x:c r="E33" s="19" t="n">
        <x:v>0.05</x:v>
      </x:c>
      <x:c r="F33" s="19" t="n">
        <x:v>0.05</x:v>
      </x:c>
      <x:c r="G33" s="19" t="n">
        <x:v>0.05</x:v>
      </x:c>
      <x:c r="H33" s="19" t="n">
        <x:v>0.05</x:v>
      </x:c>
      <x:c r="I33" s="16"/>
      <x:c r="J33" s="16" t="n">
        <x:v>0.05</x:v>
      </x:c>
      <x:c r="K33" s="16" t="n">
        <x:v>0.05</x:v>
      </x:c>
      <x:c r="L33" s="16" t="n">
        <x:v>0.05</x:v>
      </x:c>
      <x:c r="M33" s="16" t="n">
        <x:v>0.05</x:v>
      </x:c>
      <x:c r="N33" s="14" t="n">
        <x:f>IF(AND(E33=J33,F33=K33,G33=L33,H33=M33),0,1)</x:f>
        <x:v>0</x:v>
      </x:c>
    </x:row>
    <x:row r="34" ht="23" customHeight="1">
      <x:c r="C34" s="1" t="str">
        <x:v>Fixed residual cost inflation</x:v>
      </x:c>
      <x:c r="D34" s="15" t="n">
        <x:f>IF(ISBLANK(INDEX(E34:H34,1,$D$4)),NA(),INDEX(E34:H34,1,$D$4))</x:f>
        <x:v>0.04</x:v>
      </x:c>
      <x:c r="E34" s="19" t="n">
        <x:v>0.04</x:v>
      </x:c>
      <x:c r="F34" s="19" t="n">
        <x:v>0.04</x:v>
      </x:c>
      <x:c r="G34" s="19" t="n">
        <x:v>0.04</x:v>
      </x:c>
      <x:c r="H34" s="19" t="n">
        <x:v>0.04</x:v>
      </x:c>
      <x:c r="I34" s="16"/>
      <x:c r="J34" s="16" t="n">
        <x:v>0.04</x:v>
      </x:c>
      <x:c r="K34" s="16" t="n">
        <x:v>0.04</x:v>
      </x:c>
      <x:c r="L34" s="16" t="n">
        <x:v>0.04</x:v>
      </x:c>
      <x:c r="M34" s="16" t="n">
        <x:v>0.04</x:v>
      </x:c>
      <x:c r="N34" s="14" t="n">
        <x:f>IF(AND(E34=J34,F34=K34,G34=L34,H34=M34),0,1)</x:f>
        <x:v>0</x:v>
      </x:c>
    </x:row>
    <x:row r="35" ht="23" customHeight="1">
      <x:c r="C35" s="1" t="str">
        <x:v>Fixed fraction of semi-fixed expenses</x:v>
      </x:c>
      <x:c r="D35" s="15" t="n">
        <x:f>IF(ISBLANK(INDEX(E35:H35,1,$D$4)),NA(),INDEX(E35:H35,1,$D$4))</x:f>
        <x:v>0.5</x:v>
      </x:c>
      <x:c r="E35" s="19" t="n">
        <x:v>0.5</x:v>
      </x:c>
      <x:c r="F35" s="19" t="n">
        <x:v>0.5</x:v>
      </x:c>
      <x:c r="G35" s="19" t="n">
        <x:v>0.5</x:v>
      </x:c>
      <x:c r="H35" s="19" t="n">
        <x:v>0.5</x:v>
      </x:c>
      <x:c r="I35" s="16"/>
      <x:c r="J35" s="16" t="n">
        <x:v>0.5</x:v>
      </x:c>
      <x:c r="K35" s="16" t="n">
        <x:v>0.5</x:v>
      </x:c>
      <x:c r="L35" s="16" t="n">
        <x:v>0.5</x:v>
      </x:c>
      <x:c r="M35" s="16" t="n">
        <x:v>0.5</x:v>
      </x:c>
      <x:c r="N35" s="14" t="n">
        <x:f>IF(AND(E35=J35,F35=K35,G35=L35,H35=M35),0,1)</x:f>
        <x:v>0</x:v>
      </x:c>
    </x:row>
    <x:row r="36" ht="23" customHeight="1">
      <x:c r="C36" s="1" t="str">
        <x:v>Extra advertising ratio year 1</x:v>
      </x:c>
      <x:c r="D36" s="15" t="n">
        <x:f>IF(ISBLANK(INDEX(E36:H36,1,$D$4)),NA(),INDEX(E36:H36,1,$D$4))</x:f>
        <x:v>0.005</x:v>
      </x:c>
      <x:c r="E36" s="19" t="n">
        <x:v>0.005</x:v>
      </x:c>
      <x:c r="F36" s="19" t="n">
        <x:v>0.015</x:v>
      </x:c>
      <x:c r="G36" s="19" t="n">
        <x:v>0.003</x:v>
      </x:c>
      <x:c r="H36" s="19" t="n">
        <x:v>0</x:v>
      </x:c>
      <x:c r="I36" s="16"/>
      <x:c r="J36" s="16" t="n">
        <x:v>0.005</x:v>
      </x:c>
      <x:c r="K36" s="16" t="n">
        <x:v>0.015</x:v>
      </x:c>
      <x:c r="L36" s="16" t="n">
        <x:v>0.003</x:v>
      </x:c>
      <x:c r="M36" s="16" t="n">
        <x:v>0</x:v>
      </x:c>
      <x:c r="N36" s="14" t="n">
        <x:f>IF(AND(E36=J36,F36=K36,G36=L36,H36=M36),0,1)</x:f>
        <x:v>0</x:v>
      </x:c>
    </x:row>
    <x:row r="37" ht="23" customHeight="1">
      <x:c r="C37" s="1" t="str">
        <x:v>Ad ratio / point of share regained</x:v>
      </x:c>
      <x:c r="D37" s="13" t="n">
        <x:f>IF(ISBLANK(INDEX(E37:H37,1,$D$4)),NA(),INDEX(E37:H37,1,$D$4))</x:f>
        <x:v>0.15</x:v>
      </x:c>
      <x:c r="E37" s="20" t="n">
        <x:v>0.15</x:v>
      </x:c>
      <x:c r="F37" s="20" t="n">
        <x:v>0.15</x:v>
      </x:c>
      <x:c r="G37" s="20" t="n">
        <x:v>0.15</x:v>
      </x:c>
      <x:c r="H37" s="20" t="n">
        <x:v>0.15</x:v>
      </x:c>
      <x:c r="I37" s="2"/>
      <x:c r="J37" s="2" t="n">
        <x:v>0.15</x:v>
      </x:c>
      <x:c r="K37" s="2" t="n">
        <x:v>0.15</x:v>
      </x:c>
      <x:c r="L37" s="2" t="n">
        <x:v>0.15</x:v>
      </x:c>
      <x:c r="M37" s="2" t="n">
        <x:v>0.15</x:v>
      </x:c>
      <x:c r="N37" s="14" t="n">
        <x:f>IF(AND(E37=J37,F37=K37,G37=L37,H37=M37),0,1)</x:f>
        <x:v>0</x:v>
      </x:c>
    </x:row>
    <x:row r="38" ht="23" customHeight="1">
      <x:c r="C38" s="1" t="str">
        <x:v>Extra royalty / revenue</x:v>
      </x:c>
      <x:c r="D38" s="15" t="n">
        <x:f>IF(ISBLANK(INDEX(E38:H38,1,$D$4)),NA(),INDEX(E38:H38,1,$D$4))</x:f>
        <x:v>0</x:v>
      </x:c>
      <x:c r="E38" s="19" t="n">
        <x:v>0</x:v>
      </x:c>
      <x:c r="F38" s="19" t="n">
        <x:v>0</x:v>
      </x:c>
      <x:c r="G38" s="19" t="n">
        <x:v>0</x:v>
      </x:c>
      <x:c r="H38" s="19" t="n">
        <x:v>0</x:v>
      </x:c>
      <x:c r="I38" s="16"/>
      <x:c r="J38" s="16" t="n">
        <x:v>0</x:v>
      </x:c>
      <x:c r="K38" s="16" t="n">
        <x:v>0</x:v>
      </x:c>
      <x:c r="L38" s="16" t="n">
        <x:v>0</x:v>
      </x:c>
      <x:c r="M38" s="16" t="n">
        <x:v>0</x:v>
      </x:c>
      <x:c r="N38" s="14" t="n">
        <x:f>IF(AND(E38=J38,F38=K38,G38=L38,H38=M38),0,1)</x:f>
        <x:v>0</x:v>
      </x:c>
    </x:row>
    <x:row r="39" ht="23" customHeight="1">
      <x:c r="C39" s="1" t="str">
        <x:v>Annual saving / revenue, capped at Y5</x:v>
      </x:c>
      <x:c r="D39" s="15" t="n">
        <x:f>IF(ISBLANK(INDEX(E39:H39,1,$D$4)),NA(),INDEX(E39:H39,1,$D$4))</x:f>
        <x:v>0</x:v>
      </x:c>
      <x:c r="E39" s="19" t="n">
        <x:v>0</x:v>
      </x:c>
      <x:c r="F39" s="19" t="n">
        <x:v>0</x:v>
      </x:c>
      <x:c r="G39" s="19" t="n">
        <x:v>0.001</x:v>
      </x:c>
      <x:c r="H39" s="19" t="n">
        <x:v>0.002</x:v>
      </x:c>
      <x:c r="I39" s="16"/>
      <x:c r="J39" s="16" t="n">
        <x:v>0</x:v>
      </x:c>
      <x:c r="K39" s="16" t="n">
        <x:v>0</x:v>
      </x:c>
      <x:c r="L39" s="16" t="n">
        <x:v>0.001</x:v>
      </x:c>
      <x:c r="M39" s="16" t="n">
        <x:v>0.002</x:v>
      </x:c>
      <x:c r="N39" s="14" t="n">
        <x:f>IF(AND(E39=J39,F39=K39,G39=L39,H39=M39),0,1)</x:f>
        <x:v>0</x:v>
      </x:c>
    </x:row>
    <x:row r="40" ht="23" customHeight="1">
      <x:c r="C40" s="1" t="str">
        <x:v>Pad vs other contribution gap</x:v>
      </x:c>
      <x:c r="D40" s="15" t="n">
        <x:f>IF(ISBLANK(INDEX(E40:H40,1,$D$4)),NA(),INDEX(E40:H40,1,$D$4))</x:f>
        <x:v>0</x:v>
      </x:c>
      <x:c r="E40" s="19" t="n">
        <x:v>0</x:v>
      </x:c>
      <x:c r="F40" s="19" t="n">
        <x:v>0</x:v>
      </x:c>
      <x:c r="G40" s="19" t="n">
        <x:v>0</x:v>
      </x:c>
      <x:c r="H40" s="19" t="n">
        <x:v>0</x:v>
      </x:c>
      <x:c r="I40" s="16"/>
      <x:c r="J40" s="16" t="n">
        <x:v>0</x:v>
      </x:c>
      <x:c r="K40" s="16" t="n">
        <x:v>0</x:v>
      </x:c>
      <x:c r="L40" s="16" t="n">
        <x:v>0</x:v>
      </x:c>
      <x:c r="M40" s="16" t="n">
        <x:v>0</x:v>
      </x:c>
      <x:c r="N40" s="14" t="n">
        <x:f>IF(AND(E40=J40,F40=K40,G40=L40,H40=M40),0,1)</x:f>
        <x:v>0</x:v>
      </x:c>
    </x:row>
    <x:row r="41" ht="23" customHeight="1">
      <x:c r="C41" s="1" t="str">
        <x:v>Nominal INR required return</x:v>
      </x:c>
      <x:c r="D41" s="15" t="n">
        <x:f>IF(ISBLANK(INDEX(E41:H41,1,$D$4)),NA(),INDEX(E41:H41,1,$D$4))</x:f>
        <x:v>0.117</x:v>
      </x:c>
      <x:c r="E41" s="19" t="n">
        <x:v>0.117</x:v>
      </x:c>
      <x:c r="F41" s="19" t="n">
        <x:v>0.135</x:v>
      </x:c>
      <x:c r="G41" s="19" t="n">
        <x:v>0.105</x:v>
      </x:c>
      <x:c r="H41" s="19" t="n">
        <x:v>0.095</x:v>
      </x:c>
      <x:c r="I41" s="16"/>
      <x:c r="J41" s="16" t="n">
        <x:v>0.117</x:v>
      </x:c>
      <x:c r="K41" s="16" t="n">
        <x:v>0.135</x:v>
      </x:c>
      <x:c r="L41" s="16" t="n">
        <x:v>0.105</x:v>
      </x:c>
      <x:c r="M41" s="16" t="n">
        <x:v>0.095</x:v>
      </x:c>
      <x:c r="N41" s="14" t="n">
        <x:f>IF(AND(E41=J41,F41=K41,G41=L41,H41=M41),0,1)</x:f>
        <x:v>0</x:v>
      </x:c>
    </x:row>
    <x:row r="42" ht="23" customHeight="1">
      <x:c r="C42" s="1" t="str">
        <x:v>Terminal nominal growth</x:v>
      </x:c>
      <x:c r="D42" s="15" t="n">
        <x:f>IF(ISBLANK(INDEX(E42:H42,1,$D$4)),NA(),INDEX(E42:H42,1,$D$4))</x:f>
        <x:v>0.04</x:v>
      </x:c>
      <x:c r="E42" s="19" t="n">
        <x:v>0.04</x:v>
      </x:c>
      <x:c r="F42" s="19" t="n">
        <x:v>0.03</x:v>
      </x:c>
      <x:c r="G42" s="19" t="n">
        <x:v>0.045</x:v>
      </x:c>
      <x:c r="H42" s="19" t="n">
        <x:v>0.05</x:v>
      </x:c>
      <x:c r="I42" s="16"/>
      <x:c r="J42" s="16" t="n">
        <x:v>0.04</x:v>
      </x:c>
      <x:c r="K42" s="16" t="n">
        <x:v>0.03</x:v>
      </x:c>
      <x:c r="L42" s="16" t="n">
        <x:v>0.045</x:v>
      </x:c>
      <x:c r="M42" s="16" t="n">
        <x:v>0.05</x:v>
      </x:c>
      <x:c r="N42" s="14" t="n">
        <x:f>IF(AND(E42=J42,F42=K42,G42=L42,H42=M42),0,1)</x:f>
        <x:v>0</x:v>
      </x:c>
    </x:row>
    <x:row r="43" ht="23" customHeight="1">
      <x:c r="C43" s="1" t="str">
        <x:v>Terminal incremental return on capital</x:v>
      </x:c>
      <x:c r="D43" s="15" t="n">
        <x:f>IF(ISBLANK(INDEX(E43:H43,1,$D$4)),NA(),INDEX(E43:H43,1,$D$4))</x:f>
        <x:v>0.5</x:v>
      </x:c>
      <x:c r="E43" s="19" t="n">
        <x:v>0.5</x:v>
      </x:c>
      <x:c r="F43" s="19" t="n">
        <x:v>0.3</x:v>
      </x:c>
      <x:c r="G43" s="19" t="n">
        <x:v>0.65</x:v>
      </x:c>
      <x:c r="H43" s="19" t="n">
        <x:v>0.75</x:v>
      </x:c>
      <x:c r="I43" s="16"/>
      <x:c r="J43" s="16" t="n">
        <x:v>0.5</x:v>
      </x:c>
      <x:c r="K43" s="16" t="n">
        <x:v>0.3</x:v>
      </x:c>
      <x:c r="L43" s="16" t="n">
        <x:v>0.65</x:v>
      </x:c>
      <x:c r="M43" s="16" t="n">
        <x:v>0.75</x:v>
      </x:c>
      <x:c r="N43" s="14" t="n">
        <x:f>IF(AND(E43=J43,F43=K43,G43=L43,H43=M43),0,1)</x:f>
        <x:v>0</x:v>
      </x:c>
    </x:row>
    <x:row r="44" ht="23" customHeight="1">
      <x:c r="C44" s="1" t="str">
        <x:v>Operating tax rate</x:v>
      </x:c>
      <x:c r="D44" s="15" t="n">
        <x:f>IF(ISBLANK(INDEX(E44:H44,1,$D$4)),NA(),INDEX(E44:H44,1,$D$4))</x:f>
        <x:v>0.26</x:v>
      </x:c>
      <x:c r="E44" s="19" t="n">
        <x:v>0.26</x:v>
      </x:c>
      <x:c r="F44" s="19" t="n">
        <x:v>0.26</x:v>
      </x:c>
      <x:c r="G44" s="19" t="n">
        <x:v>0.26</x:v>
      </x:c>
      <x:c r="H44" s="19" t="n">
        <x:v>0.26</x:v>
      </x:c>
      <x:c r="I44" s="16"/>
      <x:c r="J44" s="16" t="n">
        <x:v>0.26</x:v>
      </x:c>
      <x:c r="K44" s="16" t="n">
        <x:v>0.26</x:v>
      </x:c>
      <x:c r="L44" s="16" t="n">
        <x:v>0.26</x:v>
      </x:c>
      <x:c r="M44" s="16" t="n">
        <x:v>0.26</x:v>
      </x:c>
      <x:c r="N44" s="14" t="n">
        <x:f>IF(AND(E44=J44,F44=K44,G44=L44,H44=M44),0,1)</x:f>
        <x:v>0</x:v>
      </x:c>
    </x:row>
    <x:row r="45" ht="23" customHeight="1">
      <x:c r="C45" s="1" t="str">
        <x:v>Cash capex / revenue Y1-5</x:v>
      </x:c>
      <x:c r="D45" s="15" t="n">
        <x:f>IF(ISBLANK(INDEX(E45:H45,1,$D$4)),NA(),INDEX(E45:H45,1,$D$4))</x:f>
        <x:v>0.015</x:v>
      </x:c>
      <x:c r="E45" s="19" t="n">
        <x:v>0.015</x:v>
      </x:c>
      <x:c r="F45" s="19" t="n">
        <x:v>0.015</x:v>
      </x:c>
      <x:c r="G45" s="19" t="n">
        <x:v>0.015</x:v>
      </x:c>
      <x:c r="H45" s="19" t="n">
        <x:v>0.015</x:v>
      </x:c>
      <x:c r="I45" s="16"/>
      <x:c r="J45" s="16" t="n">
        <x:v>0.015</x:v>
      </x:c>
      <x:c r="K45" s="16" t="n">
        <x:v>0.015</x:v>
      </x:c>
      <x:c r="L45" s="16" t="n">
        <x:v>0.015</x:v>
      </x:c>
      <x:c r="M45" s="16" t="n">
        <x:v>0.015</x:v>
      </x:c>
      <x:c r="N45" s="14" t="n">
        <x:f>IF(AND(E45=J45,F45=K45,G45=L45,H45=M45),0,1)</x:f>
        <x:v>0</x:v>
      </x:c>
    </x:row>
    <x:row r="46" ht="23" customHeight="1">
      <x:c r="C46" s="1" t="str">
        <x:v>Depreciation / revenue</x:v>
      </x:c>
      <x:c r="D46" s="15" t="n">
        <x:f>IF(ISBLANK(INDEX(E46:H46,1,$D$4)),NA(),INDEX(E46:H46,1,$D$4))</x:f>
        <x:v>0.00893553364665418</x:v>
      </x:c>
      <x:c r="E46" s="19" t="n">
        <x:v>0.00893553364665418</x:v>
      </x:c>
      <x:c r="F46" s="19" t="n">
        <x:v>0.00893553364665418</x:v>
      </x:c>
      <x:c r="G46" s="19" t="n">
        <x:v>0.00893553364665418</x:v>
      </x:c>
      <x:c r="H46" s="19" t="n">
        <x:v>0.00893553364665418</x:v>
      </x:c>
      <x:c r="I46" s="16"/>
      <x:c r="J46" s="16" t="n">
        <x:v>0.00893553364665418</x:v>
      </x:c>
      <x:c r="K46" s="16" t="n">
        <x:v>0.00893553364665418</x:v>
      </x:c>
      <x:c r="L46" s="16" t="n">
        <x:v>0.00893553364665418</x:v>
      </x:c>
      <x:c r="M46" s="16" t="n">
        <x:v>0.00893553364665418</x:v>
      </x:c>
      <x:c r="N46" s="14" t="n">
        <x:f>IF(AND(E46=J46,F46=K46,G46=L46,H46=M46),0,1)</x:f>
        <x:v>0</x:v>
      </x:c>
    </x:row>
    <x:row r="47" ht="23" customHeight="1">
      <x:c r="C47" s="1" t="str">
        <x:v>Steady operating NWC / revenue</x:v>
      </x:c>
      <x:c r="D47" s="15" t="n">
        <x:f>IF(ISBLANK(INDEX(E47:H47,1,$D$4)),NA(),INDEX(E47:H47,1,$D$4))</x:f>
        <x:v>-0.07</x:v>
      </x:c>
      <x:c r="E47" s="19" t="n">
        <x:v>-0.07</x:v>
      </x:c>
      <x:c r="F47" s="19" t="n">
        <x:v>-0.03</x:v>
      </x:c>
      <x:c r="G47" s="19" t="n">
        <x:v>-0.09</x:v>
      </x:c>
      <x:c r="H47" s="19" t="n">
        <x:v>-0.09</x:v>
      </x:c>
      <x:c r="I47" s="16"/>
      <x:c r="J47" s="16" t="n">
        <x:v>-0.07</x:v>
      </x:c>
      <x:c r="K47" s="16" t="n">
        <x:v>-0.03</x:v>
      </x:c>
      <x:c r="L47" s="16" t="n">
        <x:v>-0.09</x:v>
      </x:c>
      <x:c r="M47" s="16" t="n">
        <x:v>-0.09</x:v>
      </x:c>
      <x:c r="N47" s="14" t="n">
        <x:f>IF(AND(E47=J47,F47=K47,G47=L47,H47=M47),0,1)</x:f>
        <x:v>0</x:v>
      </x:c>
    </x:row>
    <x:row r="48" ht="23" customHeight="1">
      <x:c r="C48" s="1" t="str">
        <x:v>Opening operating NWC</x:v>
      </x:c>
      <x:c r="D48" s="13" t="n">
        <x:f>IF(ISBLANK(INDEX(E48:H48,1,$D$4)),NA(),INDEX(E48:H48,1,$D$4))</x:f>
        <x:v>-385.71</x:v>
      </x:c>
      <x:c r="E48" s="20" t="n">
        <x:v>-385.71</x:v>
      </x:c>
      <x:c r="F48" s="20" t="n">
        <x:v>-385.71</x:v>
      </x:c>
      <x:c r="G48" s="20" t="n">
        <x:v>-385.71</x:v>
      </x:c>
      <x:c r="H48" s="20" t="n">
        <x:v>-385.71</x:v>
      </x:c>
      <x:c r="I48" s="2"/>
      <x:c r="J48" s="2" t="n">
        <x:v>-385.71</x:v>
      </x:c>
      <x:c r="K48" s="2" t="n">
        <x:v>-385.71</x:v>
      </x:c>
      <x:c r="L48" s="2" t="n">
        <x:v>-385.71</x:v>
      </x:c>
      <x:c r="M48" s="2" t="n">
        <x:v>-385.71</x:v>
      </x:c>
      <x:c r="N48" s="14" t="n">
        <x:f>IF(AND(E48=J48,F48=K48,G48=L48,H48=M48),0,1)</x:f>
        <x:v>0</x:v>
      </x:c>
    </x:row>
    <x:row r="49" ht="23" customHeight="1">
      <x:c r="C49" s="1" t="str">
        <x:v>March 2026 cash eligible for review</x:v>
      </x:c>
      <x:c r="D49" s="13" t="n">
        <x:f>IF(ISBLANK(INDEX(E49:H49,1,$D$4)),NA(),INDEX(E49:H49,1,$D$4))</x:f>
        <x:v>557.03</x:v>
      </x:c>
      <x:c r="E49" s="20" t="n">
        <x:v>557.03</x:v>
      </x:c>
      <x:c r="F49" s="20" t="n">
        <x:v>557.03</x:v>
      </x:c>
      <x:c r="G49" s="20" t="n">
        <x:v>557.03</x:v>
      </x:c>
      <x:c r="H49" s="20" t="n">
        <x:v>557.03</x:v>
      </x:c>
      <x:c r="I49" s="2"/>
      <x:c r="J49" s="2" t="n">
        <x:v>557.03</x:v>
      </x:c>
      <x:c r="K49" s="2" t="n">
        <x:v>557.03</x:v>
      </x:c>
      <x:c r="L49" s="2" t="n">
        <x:v>557.03</x:v>
      </x:c>
      <x:c r="M49" s="2" t="n">
        <x:v>557.03</x:v>
      </x:c>
      <x:c r="N49" s="14" t="n">
        <x:f>IF(AND(E49=J49,F49=K49,G49=L49,H49=M49),0,1)</x:f>
        <x:v>0</x:v>
      </x:c>
    </x:row>
    <x:row r="50" ht="23" customHeight="1">
      <x:c r="C50" s="1" t="str">
        <x:v>Post-March dividend per share</x:v>
      </x:c>
      <x:c r="D50" s="13" t="n">
        <x:f>IF(ISBLANK(INDEX(E50:H50,1,$D$4)),NA(),INDEX(E50:H50,1,$D$4))</x:f>
        <x:v>60</x:v>
      </x:c>
      <x:c r="E50" s="20" t="n">
        <x:v>60</x:v>
      </x:c>
      <x:c r="F50" s="20" t="n">
        <x:v>60</x:v>
      </x:c>
      <x:c r="G50" s="20" t="n">
        <x:v>60</x:v>
      </x:c>
      <x:c r="H50" s="20" t="n">
        <x:v>60</x:v>
      </x:c>
      <x:c r="I50" s="2"/>
      <x:c r="J50" s="2" t="n">
        <x:v>60</x:v>
      </x:c>
      <x:c r="K50" s="2" t="n">
        <x:v>60</x:v>
      </x:c>
      <x:c r="L50" s="2" t="n">
        <x:v>60</x:v>
      </x:c>
      <x:c r="M50" s="2" t="n">
        <x:v>60</x:v>
      </x:c>
      <x:c r="N50" s="14" t="n">
        <x:f>IF(AND(E50=J50,F50=K50,G50=L50,H50=M50),0,1)</x:f>
        <x:v>0</x:v>
      </x:c>
    </x:row>
    <x:row r="51" ht="23" customHeight="1">
      <x:c r="C51" s="1" t="str">
        <x:v>Operating cash reserve</x:v>
      </x:c>
      <x:c r="D51" s="13" t="n">
        <x:f>IF(ISBLANK(INDEX(E51:H51,1,$D$4)),NA(),INDEX(E51:H51,1,$D$4))</x:f>
        <x:v>150</x:v>
      </x:c>
      <x:c r="E51" s="20" t="n">
        <x:v>150</x:v>
      </x:c>
      <x:c r="F51" s="20" t="n">
        <x:v>150</x:v>
      </x:c>
      <x:c r="G51" s="20" t="n">
        <x:v>150</x:v>
      </x:c>
      <x:c r="H51" s="20" t="n">
        <x:v>150</x:v>
      </x:c>
      <x:c r="I51" s="2"/>
      <x:c r="J51" s="2" t="n">
        <x:v>150</x:v>
      </x:c>
      <x:c r="K51" s="2" t="n">
        <x:v>150</x:v>
      </x:c>
      <x:c r="L51" s="2" t="n">
        <x:v>150</x:v>
      </x:c>
      <x:c r="M51" s="2" t="n">
        <x:v>150</x:v>
      </x:c>
      <x:c r="N51" s="14" t="n">
        <x:f>IF(AND(E51=J51,F51=K51,G51=L51,H51=M51),0,1)</x:f>
        <x:v>0</x:v>
      </x:c>
    </x:row>
    <x:row r="52" ht="23" customHeight="1">
      <x:c r="C52" s="1" t="str">
        <x:v>Lease liabilities</x:v>
      </x:c>
      <x:c r="D52" s="13" t="n">
        <x:f>IF(ISBLANK(INDEX(E52:H52,1,$D$4)),NA(),INDEX(E52:H52,1,$D$4))</x:f>
        <x:v>0.87</x:v>
      </x:c>
      <x:c r="E52" s="20" t="n">
        <x:v>0.87</x:v>
      </x:c>
      <x:c r="F52" s="20" t="n">
        <x:v>0.87</x:v>
      </x:c>
      <x:c r="G52" s="20" t="n">
        <x:v>0.87</x:v>
      </x:c>
      <x:c r="H52" s="20" t="n">
        <x:v>0.87</x:v>
      </x:c>
      <x:c r="I52" s="2"/>
      <x:c r="J52" s="2" t="n">
        <x:v>0.87</x:v>
      </x:c>
      <x:c r="K52" s="2" t="n">
        <x:v>0.87</x:v>
      </x:c>
      <x:c r="L52" s="2" t="n">
        <x:v>0.87</x:v>
      </x:c>
      <x:c r="M52" s="2" t="n">
        <x:v>0.87</x:v>
      </x:c>
      <x:c r="N52" s="14" t="n">
        <x:f>IF(AND(E52=J52,F52=K52,G52=L52,H52=M52),0,1)</x:f>
        <x:v>0</x:v>
      </x:c>
    </x:row>
    <x:row r="53" ht="23" customHeight="1">
      <x:c r="C53" s="1" t="str">
        <x:v>Employee benefit provisions</x:v>
      </x:c>
      <x:c r="D53" s="13" t="n">
        <x:f>IF(ISBLANK(INDEX(E53:H53,1,$D$4)),NA(),INDEX(E53:H53,1,$D$4))</x:f>
        <x:v>123.98</x:v>
      </x:c>
      <x:c r="E53" s="20" t="n">
        <x:v>123.98</x:v>
      </x:c>
      <x:c r="F53" s="20" t="n">
        <x:v>123.98</x:v>
      </x:c>
      <x:c r="G53" s="20" t="n">
        <x:v>123.98</x:v>
      </x:c>
      <x:c r="H53" s="20" t="n">
        <x:v>123.98</x:v>
      </x:c>
      <x:c r="I53" s="2"/>
      <x:c r="J53" s="2" t="n">
        <x:v>123.98</x:v>
      </x:c>
      <x:c r="K53" s="2" t="n">
        <x:v>123.98</x:v>
      </x:c>
      <x:c r="L53" s="2" t="n">
        <x:v>123.98</x:v>
      </x:c>
      <x:c r="M53" s="2" t="n">
        <x:v>123.98</x:v>
      </x:c>
      <x:c r="N53" s="14" t="n">
        <x:f>IF(AND(E53=J53,F53=K53,G53=L53,H53=M53),0,1)</x:f>
        <x:v>0</x:v>
      </x:c>
    </x:row>
    <x:row r="54" ht="23" customHeight="1">
      <x:c r="C54" s="1" t="str">
        <x:v>Recognized tax provision</x:v>
      </x:c>
      <x:c r="D54" s="13" t="n">
        <x:f>IF(ISBLANK(INDEX(E54:H54,1,$D$4)),NA(),INDEX(E54:H54,1,$D$4))</x:f>
        <x:v>2.32</x:v>
      </x:c>
      <x:c r="E54" s="20" t="n">
        <x:v>2.32</x:v>
      </x:c>
      <x:c r="F54" s="20" t="n">
        <x:v>2.32</x:v>
      </x:c>
      <x:c r="G54" s="20" t="n">
        <x:v>2.32</x:v>
      </x:c>
      <x:c r="H54" s="20" t="n">
        <x:v>2.32</x:v>
      </x:c>
      <x:c r="I54" s="2"/>
      <x:c r="J54" s="2" t="n">
        <x:v>2.32</x:v>
      </x:c>
      <x:c r="K54" s="2" t="n">
        <x:v>2.32</x:v>
      </x:c>
      <x:c r="L54" s="2" t="n">
        <x:v>2.32</x:v>
      </x:c>
      <x:c r="M54" s="2" t="n">
        <x:v>2.32</x:v>
      </x:c>
      <x:c r="N54" s="14" t="n">
        <x:f>IF(AND(E54=J54,F54=K54,G54=L54,H54=M54),0,1)</x:f>
        <x:v>0</x:v>
      </x:c>
    </x:row>
    <x:row r="55" ht="23" customHeight="1">
      <x:c r="C55" s="1" t="str">
        <x:v>Additional contingent-claim stress</x:v>
      </x:c>
      <x:c r="D55" s="13" t="n">
        <x:f>IF(ISBLANK(INDEX(E55:H55,1,$D$4)),NA(),INDEX(E55:H55,1,$D$4))</x:f>
        <x:v>0</x:v>
      </x:c>
      <x:c r="E55" s="20" t="n">
        <x:v>0</x:v>
      </x:c>
      <x:c r="F55" s="20" t="n">
        <x:v>0</x:v>
      </x:c>
      <x:c r="G55" s="20" t="n">
        <x:v>0</x:v>
      </x:c>
      <x:c r="H55" s="20" t="n">
        <x:v>0</x:v>
      </x:c>
      <x:c r="I55" s="2"/>
      <x:c r="J55" s="2" t="n">
        <x:v>0</x:v>
      </x:c>
      <x:c r="K55" s="2" t="n">
        <x:v>0</x:v>
      </x:c>
      <x:c r="L55" s="2" t="n">
        <x:v>0</x:v>
      </x:c>
      <x:c r="M55" s="2" t="n">
        <x:v>0</x:v>
      </x:c>
      <x:c r="N55" s="14" t="n">
        <x:f>IF(AND(E55=J55,F55=K55,G55=L55,H55=M55),0,1)</x:f>
        <x:v>0</x:v>
      </x:c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dataValidations count="1">
    <x:dataValidation type="whole" operator="between" sqref="D4">
      <x:formula1>1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revenue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/>
      <x:c r="D6" s="10" t="str">
        <x:v>Year 1</x:v>
      </x:c>
      <x:c r="E6" s="10" t="str">
        <x:v>Year 2</x:v>
      </x:c>
      <x:c r="F6" s="10" t="str">
        <x:v>Year 3</x:v>
      </x:c>
      <x:c r="G6" s="10" t="str">
        <x:v>Year 4</x:v>
      </x:c>
      <x:c r="H6" s="10" t="str">
        <x:v>Year 5</x:v>
      </x:c>
      <x:c r="I6" s="10" t="str">
        <x:v>Year 6</x:v>
      </x:c>
      <x:c r="J6" s="10" t="str">
        <x:v>Year 7</x:v>
      </x:c>
      <x:c r="K6" s="10" t="str">
        <x:v>Year 8</x:v>
      </x:c>
      <x:c r="L6" s="10" t="str">
        <x:v>Year 9</x:v>
      </x:c>
      <x:c r="M6" s="10" t="str">
        <x:v>Year 10</x:v>
      </x:c>
    </x:row>
    <x:row r="7" ht="23" customHeight="1">
      <x:c r="C7" s="1" t="str">
        <x:v>Structural category growth</x:v>
      </x:c>
      <x:c r="D7" s="23" t="n">
        <x:f>(1+Assumptions!$D$15)*(1+Assumptions!$D$12)^Assumptions!$D$13*(1+Assumptions!$D$14)*((1+Assumptions!$D$16)/1.02)^(-Assumptions!$D$17)*(1+Assumptions!$D$16)-1</x:f>
        <x:v>0.07929322197882294</x:v>
      </x:c>
      <x:c r="E7" s="23" t="n">
        <x:f>(1+Assumptions!$D$15)*(1+Assumptions!$D$12)^Assumptions!$D$13*(1+Assumptions!$D$14)*((1+Assumptions!$D$16)/1.02)^(-Assumptions!$D$17)*(1+Assumptions!$D$16)-1</x:f>
        <x:v>0.07929322197882294</x:v>
      </x:c>
      <x:c r="F7" s="23" t="n">
        <x:f>(1+Assumptions!$D$15)*(1+Assumptions!$D$12)^Assumptions!$D$13*(1+Assumptions!$D$14)*((1+Assumptions!$D$16)/1.02)^(-Assumptions!$D$17)*(1+Assumptions!$D$16)-1</x:f>
        <x:v>0.07929322197882294</x:v>
      </x:c>
      <x:c r="G7" s="23" t="n">
        <x:f>(1+Assumptions!$D$15)*(1+Assumptions!$D$12)^Assumptions!$D$13*(1+Assumptions!$D$14)*((1+Assumptions!$D$16)/1.02)^(-Assumptions!$D$17)*(1+Assumptions!$D$16)-1</x:f>
        <x:v>0.07929322197882294</x:v>
      </x:c>
      <x:c r="H7" s="23" t="n">
        <x:f>(1+Assumptions!$D$15)*(1+Assumptions!$D$12)^Assumptions!$D$13*(1+Assumptions!$D$14)*((1+Assumptions!$D$16)/1.02)^(-Assumptions!$D$17)*(1+Assumptions!$D$16)-1</x:f>
        <x:v>0.07929322197882294</x:v>
      </x:c>
      <x:c r="I7" s="23" t="n">
        <x:f>(1+Assumptions!$D$15)*(1+Assumptions!$D$12)^Assumptions!$D$13*(1+Assumptions!$D$14)*((1+Assumptions!$D$16)/1.02)^(-Assumptions!$D$17)*(1+Assumptions!$D$16)-1</x:f>
        <x:v>0.07929322197882294</x:v>
      </x:c>
      <x:c r="J7" s="23" t="n">
        <x:f>(1+Assumptions!$D$15)*(1+Assumptions!$D$12)^Assumptions!$D$13*(1+Assumptions!$D$14)*((1+Assumptions!$D$16)/1.02)^(-Assumptions!$D$17)*(1+Assumptions!$D$16)-1</x:f>
        <x:v>0.07929322197882294</x:v>
      </x:c>
      <x:c r="K7" s="23" t="n">
        <x:f>(1+Assumptions!$D$15)*(1+Assumptions!$D$12)^Assumptions!$D$13*(1+Assumptions!$D$14)*((1+Assumptions!$D$16)/1.02)^(-Assumptions!$D$17)*(1+Assumptions!$D$16)-1</x:f>
        <x:v>0.07929322197882294</x:v>
      </x:c>
      <x:c r="L7" s="23" t="n">
        <x:f>(1+Assumptions!$D$15)*(1+Assumptions!$D$12)^Assumptions!$D$13*(1+Assumptions!$D$14)*((1+Assumptions!$D$16)/1.02)^(-Assumptions!$D$17)*(1+Assumptions!$D$16)-1</x:f>
        <x:v>0.07929322197882294</x:v>
      </x:c>
      <x:c r="M7" s="23" t="n">
        <x:f>(1+Assumptions!$D$15)*(1+Assumptions!$D$12)^Assumptions!$D$13*(1+Assumptions!$D$14)*((1+Assumptions!$D$16)/1.02)^(-Assumptions!$D$17)*(1+Assumptions!$D$16)-1</x:f>
        <x:v>0.07929322197882294</x:v>
      </x:c>
    </x:row>
    <x:row r="8" ht="23" customHeight="1">
      <x:c r="C8" s="1" t="str">
        <x:v>Category growth this year</x:v>
      </x:c>
      <x:c r="D8" s="23" t="n">
        <x:f>Assumptions!$D$18</x:f>
        <x:v>0.06</x:v>
      </x:c>
      <x:c r="E8" s="23" t="n">
        <x:f>E7+(Assumptions!$D$42-E7)*0</x:f>
        <x:v>0.07929322197882294</x:v>
      </x:c>
      <x:c r="F8" s="23" t="n">
        <x:f>F7+(Assumptions!$D$42-F7)*0</x:f>
        <x:v>0.07929322197882294</x:v>
      </x:c>
      <x:c r="G8" s="23" t="n">
        <x:f>G7+(Assumptions!$D$42-G7)*0</x:f>
        <x:v>0.07929322197882294</x:v>
      </x:c>
      <x:c r="H8" s="23" t="n">
        <x:f>H7+(Assumptions!$D$42-H7)*0</x:f>
        <x:v>0.07929322197882294</x:v>
      </x:c>
      <x:c r="I8" s="23" t="n">
        <x:f>I7+(Assumptions!$D$42-I7)*0.2</x:f>
        <x:v>0.07143457758305835</x:v>
      </x:c>
      <x:c r="J8" s="23" t="n">
        <x:f>J7+(Assumptions!$D$42-J7)*0.4</x:f>
        <x:v>0.06357593318729376</x:v>
      </x:c>
      <x:c r="K8" s="23" t="n">
        <x:f>K7+(Assumptions!$D$42-K7)*0.6</x:f>
        <x:v>0.05571728879152918</x:v>
      </x:c>
      <x:c r="L8" s="23" t="n">
        <x:f>L7+(Assumptions!$D$42-L7)*0.8</x:f>
        <x:v>0.04785864439576459</x:v>
      </x:c>
      <x:c r="M8" s="23" t="n">
        <x:f>M7+(Assumptions!$D$42-M7)*1</x:f>
        <x:v>0.04</x:v>
      </x:c>
    </x:row>
    <x:row r="9" ht="23" customHeight="1">
      <x:c r="C9" s="1" t="str">
        <x:v>Category retail value index (base 100)</x:v>
      </x:c>
      <x:c r="D9" s="13" t="n">
        <x:f>100*(1+D8)</x:f>
        <x:v>106</x:v>
      </x:c>
      <x:c r="E9" s="13" t="n">
        <x:f>D9*(1+E8)</x:f>
        <x:v>114.40508152975524</x:v>
      </x:c>
      <x:c r="F9" s="13" t="n">
        <x:f>E9*(1+F8)</x:f>
        <x:v>123.47662905499945</x:v>
      </x:c>
      <x:c r="G9" s="13" t="n">
        <x:f>F9*(1+G8)</x:f>
        <x:v>133.2674888118543</x:v>
      </x:c>
      <x:c r="H9" s="13" t="n">
        <x:f>G9*(1+H8)</x:f>
        <x:v>143.83469738477297</x:v>
      </x:c>
      <x:c r="I9" s="13" t="n">
        <x:f>H9*(1+I8)</x:f>
        <x:v>154.10946823424123</x:v>
      </x:c>
      <x:c r="J9" s="13" t="n">
        <x:f>I9*(1+J8)</x:f>
        <x:v>163.90712149023074</x:v>
      </x:c>
      <x:c r="K9" s="13" t="n">
        <x:f>J9*(1+K8)</x:f>
        <x:v>173.03958191329016</x:v>
      </x:c>
      <x:c r="L9" s="13" t="n">
        <x:f>K9*(1+L8)</x:f>
        <x:v>181.32102173047008</x:v>
      </x:c>
      <x:c r="M9" s="13" t="n">
        <x:f>L9*(1+M8)</x:f>
        <x:v>188.57386259968888</x:v>
      </x:c>
    </x:row>
    <x:row r="10" ht="23" customHeight="1">
      <x:c r="C10" s="1" t="str">
        <x:v>Whisper retail value-share proxy</x:v>
      </x:c>
      <x:c r="D10" s="23" t="n">
        <x:f>Assumptions!$D$7+Assumptions!$D$8*0.2-Assumptions!$D$9*0.6666666666666666</x:f>
        <x:v>0.45999999999999996</x:v>
      </x:c>
      <x:c r="E10" s="23" t="n">
        <x:f>Assumptions!$D$7+Assumptions!$D$8*0.4-Assumptions!$D$9*1</x:f>
        <x:v>0.45499999999999996</x:v>
      </x:c>
      <x:c r="F10" s="23" t="n">
        <x:f>Assumptions!$D$7+Assumptions!$D$8*0.6-Assumptions!$D$9*0.6666666666666666</x:f>
        <x:v>0.45999999999999996</x:v>
      </x:c>
      <x:c r="G10" s="23" t="n">
        <x:f>Assumptions!$D$7+Assumptions!$D$8*0.8-Assumptions!$D$9*0.3333333333333333</x:f>
        <x:v>0.46499999999999997</x:v>
      </x:c>
      <x:c r="H10" s="23" t="n">
        <x:f>Assumptions!$D$7+Assumptions!$D$8*1-Assumptions!$D$9*0</x:f>
        <x:v>0.47</x:v>
      </x:c>
      <x:c r="I10" s="23" t="n">
        <x:f>Assumptions!$D$7+Assumptions!$D$8*1-Assumptions!$D$9*0</x:f>
        <x:v>0.47</x:v>
      </x:c>
      <x:c r="J10" s="23" t="n">
        <x:f>Assumptions!$D$7+Assumptions!$D$8*1-Assumptions!$D$9*0</x:f>
        <x:v>0.47</x:v>
      </x:c>
      <x:c r="K10" s="23" t="n">
        <x:f>Assumptions!$D$7+Assumptions!$D$8*1-Assumptions!$D$9*0</x:f>
        <x:v>0.47</x:v>
      </x:c>
      <x:c r="L10" s="23" t="n">
        <x:f>Assumptions!$D$7+Assumptions!$D$8*1-Assumptions!$D$9*0</x:f>
        <x:v>0.47</x:v>
      </x:c>
      <x:c r="M10" s="23" t="n">
        <x:f>Assumptions!$D$7+Assumptions!$D$8*1-Assumptions!$D$9*0</x:f>
        <x:v>0.47</x:v>
      </x:c>
    </x:row>
    <x:row r="11" ht="23" customHeight="1">
      <x:c r="C11" s="1" t="str">
        <x:v>Producer / retail capture index</x:v>
      </x:c>
      <x:c r="D11" s="24" t="n">
        <x:f>1+Assumptions!$D$19*0.3333333333333333</x:f>
        <x:v>0.995</x:v>
      </x:c>
      <x:c r="E11" s="24" t="n">
        <x:f>1+Assumptions!$D$19*0.6666666666666666</x:f>
        <x:v>0.99</x:v>
      </x:c>
      <x:c r="F11" s="24" t="n">
        <x:f>1+Assumptions!$D$19*1</x:f>
        <x:v>0.985</x:v>
      </x:c>
      <x:c r="G11" s="24" t="n">
        <x:f>1+Assumptions!$D$19*1</x:f>
        <x:v>0.985</x:v>
      </x:c>
      <x:c r="H11" s="24" t="n">
        <x:f>1+Assumptions!$D$19*1</x:f>
        <x:v>0.985</x:v>
      </x:c>
      <x:c r="I11" s="24" t="n">
        <x:f>1+Assumptions!$D$19*1</x:f>
        <x:v>0.985</x:v>
      </x:c>
      <x:c r="J11" s="24" t="n">
        <x:f>1+Assumptions!$D$19*1</x:f>
        <x:v>0.985</x:v>
      </x:c>
      <x:c r="K11" s="24" t="n">
        <x:f>1+Assumptions!$D$19*1</x:f>
        <x:v>0.985</x:v>
      </x:c>
      <x:c r="L11" s="24" t="n">
        <x:f>1+Assumptions!$D$19*1</x:f>
        <x:v>0.985</x:v>
      </x:c>
      <x:c r="M11" s="24" t="n">
        <x:f>1+Assumptions!$D$19*1</x:f>
        <x:v>0.985</x:v>
      </x:c>
    </x:row>
    <x:row r="12" ht="23" customHeight="1">
      <x:c r="C12" s="1" t="str">
        <x:v>Domestic sanitary / femcare proxy</x:v>
      </x:c>
      <x:c r="D12" s="22" t="n">
        <x:f>Evidence!$D$7*Assumptions!$D$10*(1-Assumptions!$D$11)*D9/100*D10/Assumptions!$D$7*D11</x:f>
        <x:v>2757.3052309637455</x:v>
      </x:c>
      <x:c r="E12" s="22" t="n">
        <x:f>Evidence!$D$7*Assumptions!$D$10*(1-Assumptions!$D$11)*E9/100*E10/Assumptions!$D$7*E11</x:f>
        <x:v>2928.8017356318182</x:v>
      </x:c>
      <x:c r="F12" s="22" t="n">
        <x:f>Evidence!$D$7*Assumptions!$D$10*(1-Assumptions!$D$11)*F9/100*F10/Assumptions!$D$7*F11</x:f>
        <x:v>3179.632254358521</x:v>
      </x:c>
      <x:c r="G12" s="22" t="n">
        <x:f>Evidence!$D$7*Assumptions!$D$10*(1-Assumptions!$D$11)*G9/100*G10/Assumptions!$D$7*G11</x:f>
        <x:v>3469.0572311721608</x:v>
      </x:c>
      <x:c r="H12" s="22" t="n">
        <x:f>Evidence!$D$7*Assumptions!$D$10*(1-Assumptions!$D$11)*H9/100*H10/Assumptions!$D$7*H11</x:f>
        <x:v>3784.3894181560136</x:v>
      </x:c>
      <x:c r="I12" s="22" t="n">
        <x:f>Evidence!$D$7*Assumptions!$D$10*(1-Assumptions!$D$11)*I9/100*I10/Assumptions!$D$7*I11</x:f>
        <x:v>4054.7256776517843</x:v>
      </x:c>
      <x:c r="J12" s="22" t="n">
        <x:f>Evidence!$D$7*Assumptions!$D$10*(1-Assumptions!$D$11)*J9/100*J10/Assumptions!$D$7*J11</x:f>
        <x:v>4312.508646426979</x:v>
      </x:c>
      <x:c r="K12" s="22" t="n">
        <x:f>Evidence!$D$7*Assumptions!$D$10*(1-Assumptions!$D$11)*K9/100*K10/Assumptions!$D$7*K11</x:f>
        <x:v>4552.789936095916</x:v>
      </x:c>
      <x:c r="L12" s="22" t="n">
        <x:f>Evidence!$D$7*Assumptions!$D$10*(1-Assumptions!$D$11)*L9/100*L10/Assumptions!$D$7*L11</x:f>
        <x:v>4770.680290656146</x:v>
      </x:c>
      <x:c r="M12" s="22" t="n">
        <x:f>Evidence!$D$7*Assumptions!$D$10*(1-Assumptions!$D$11)*M9/100*M10/Assumptions!$D$7*M11</x:f>
        <x:v>4961.507502282392</x:v>
      </x:c>
    </x:row>
    <x:row r="13" ht="23" customHeight="1">
      <x:c r="C13" s="1" t="str">
        <x:v>Export sanitary / femcare proxy</x:v>
      </x:c>
      <x:c r="D13" s="22" t="n">
        <x:f>Evidence!$D$7*Assumptions!$D$10*Assumptions!$D$11*(1+Assumptions!$D$20+(Assumptions!$D$42-Assumptions!$D$20)*0)</x:f>
        <x:v>91.53764334</x:v>
      </x:c>
      <x:c r="E13" s="22" t="n">
        <x:f>D13*(1+Assumptions!$D$20+(Assumptions!$D$42-Assumptions!$D$20)*0)</x:f>
        <x:v>95.19914907360001</x:v>
      </x:c>
      <x:c r="F13" s="22" t="n">
        <x:f>E13*(1+Assumptions!$D$20+(Assumptions!$D$42-Assumptions!$D$20)*0)</x:f>
        <x:v>99.00711503654402</x:v>
      </x:c>
      <x:c r="G13" s="22" t="n">
        <x:f>F13*(1+Assumptions!$D$20+(Assumptions!$D$42-Assumptions!$D$20)*0)</x:f>
        <x:v>102.96739963800579</x:v>
      </x:c>
      <x:c r="H13" s="22" t="n">
        <x:f>G13*(1+Assumptions!$D$20+(Assumptions!$D$42-Assumptions!$D$20)*0)</x:f>
        <x:v>107.08609562352602</x:v>
      </x:c>
      <x:c r="I13" s="22" t="n">
        <x:f>H13*(1+Assumptions!$D$20+(Assumptions!$D$42-Assumptions!$D$20)*0.2)</x:f>
        <x:v>111.36953944846707</x:v>
      </x:c>
      <x:c r="J13" s="22" t="n">
        <x:f>I13*(1+Assumptions!$D$20+(Assumptions!$D$42-Assumptions!$D$20)*0.4)</x:f>
        <x:v>115.82432102640576</x:v>
      </x:c>
      <x:c r="K13" s="22" t="n">
        <x:f>J13*(1+Assumptions!$D$20+(Assumptions!$D$42-Assumptions!$D$20)*0.6)</x:f>
        <x:v>120.45729386746198</x:v>
      </x:c>
      <x:c r="L13" s="22" t="n">
        <x:f>K13*(1+Assumptions!$D$20+(Assumptions!$D$42-Assumptions!$D$20)*0.8)</x:f>
        <x:v>125.27558562216046</x:v>
      </x:c>
      <x:c r="M13" s="22" t="n">
        <x:f>L13*(1+Assumptions!$D$20+(Assumptions!$D$42-Assumptions!$D$20)*1)</x:f>
        <x:v>130.28660904704688</x:v>
      </x:c>
    </x:row>
    <x:row r="14" ht="23" customHeight="1">
      <x:c r="C14" s="1" t="str">
        <x:v>Rubs / ointments</x:v>
      </x:c>
      <x:c r="D14" s="22" t="n">
        <x:f>Evidence!$D$7*Evidence!$D$11/Evidence!$D$10*(1+Assumptions!$D$21+(Assumptions!$D$42-Assumptions!$D$21)*0)</x:f>
        <x:v>946.9256110870265</x:v>
      </x:c>
      <x:c r="E14" s="22" t="n">
        <x:f>D14*(1+Assumptions!$D$21+(Assumptions!$D$42-Assumptions!$D$21)*0)</x:f>
        <x:v>984.8026355305076</x:v>
      </x:c>
      <x:c r="F14" s="22" t="n">
        <x:f>E14*(1+Assumptions!$D$21+(Assumptions!$D$42-Assumptions!$D$21)*0)</x:f>
        <x:v>1024.194740951728</x:v>
      </x:c>
      <x:c r="G14" s="22" t="n">
        <x:f>F14*(1+Assumptions!$D$21+(Assumptions!$D$42-Assumptions!$D$21)*0)</x:f>
        <x:v>1065.1625305897971</x:v>
      </x:c>
      <x:c r="H14" s="22" t="n">
        <x:f>G14*(1+Assumptions!$D$21+(Assumptions!$D$42-Assumptions!$D$21)*0)</x:f>
        <x:v>1107.7690318133891</x:v>
      </x:c>
      <x:c r="I14" s="22" t="n">
        <x:f>H14*(1+Assumptions!$D$21+(Assumptions!$D$42-Assumptions!$D$21)*0.2)</x:f>
        <x:v>1152.0797930859246</x:v>
      </x:c>
      <x:c r="J14" s="22" t="n">
        <x:f>I14*(1+Assumptions!$D$21+(Assumptions!$D$42-Assumptions!$D$21)*0.4)</x:f>
        <x:v>1198.1629848093617</x:v>
      </x:c>
      <x:c r="K14" s="22" t="n">
        <x:f>J14*(1+Assumptions!$D$21+(Assumptions!$D$42-Assumptions!$D$21)*0.6)</x:f>
        <x:v>1246.0895042017362</x:v>
      </x:c>
      <x:c r="L14" s="22" t="n">
        <x:f>K14*(1+Assumptions!$D$21+(Assumptions!$D$42-Assumptions!$D$21)*0.8)</x:f>
        <x:v>1295.9330843698058</x:v>
      </x:c>
      <x:c r="M14" s="22" t="n">
        <x:f>L14*(1+Assumptions!$D$21+(Assumptions!$D$42-Assumptions!$D$21)*1)</x:f>
        <x:v>1347.770407744598</x:v>
      </x:c>
    </x:row>
    <x:row r="15" ht="23" customHeight="1">
      <x:c r="C15" s="1" t="str">
        <x:v>Cough drops</x:v>
      </x:c>
      <x:c r="D15" s="22" t="n">
        <x:f>Evidence!$D$7*Evidence!$D$12/Evidence!$D$10*(1+Assumptions!$D$22+(Assumptions!$D$42-Assumptions!$D$22)*0)</x:f>
        <x:v>399.0631131497616</x:v>
      </x:c>
      <x:c r="E15" s="22" t="n">
        <x:f>D15*(1+Assumptions!$D$22+(Assumptions!$D$42-Assumptions!$D$22)*0)</x:f>
        <x:v>426.9975310702449</x:v>
      </x:c>
      <x:c r="F15" s="22" t="n">
        <x:f>E15*(1+Assumptions!$D$22+(Assumptions!$D$42-Assumptions!$D$22)*0)</x:f>
        <x:v>456.8873582451621</x:v>
      </x:c>
      <x:c r="G15" s="22" t="n">
        <x:f>F15*(1+Assumptions!$D$22+(Assumptions!$D$42-Assumptions!$D$22)*0)</x:f>
        <x:v>488.8694733223235</x:v>
      </x:c>
      <x:c r="H15" s="22" t="n">
        <x:f>G15*(1+Assumptions!$D$22+(Assumptions!$D$42-Assumptions!$D$22)*0)</x:f>
        <x:v>523.0903364548861</x:v>
      </x:c>
      <x:c r="I15" s="22" t="n">
        <x:f>H15*(1+Assumptions!$D$22+(Assumptions!$D$42-Assumptions!$D$22)*0.2)</x:f>
        <x:v>556.5681179879989</x:v>
      </x:c>
      <x:c r="J15" s="22" t="n">
        <x:f>I15*(1+Assumptions!$D$22+(Assumptions!$D$42-Assumptions!$D$22)*0.4)</x:f>
        <x:v>588.8490688313028</x:v>
      </x:c>
      <x:c r="K15" s="22" t="n">
        <x:f>J15*(1+Assumptions!$D$22+(Assumptions!$D$42-Assumptions!$D$22)*0.6)</x:f>
        <x:v>619.4692204105306</x:v>
      </x:c>
      <x:c r="L15" s="22" t="n">
        <x:f>K15*(1+Assumptions!$D$22+(Assumptions!$D$42-Assumptions!$D$22)*0.8)</x:f>
        <x:v>647.964804549415</x:v>
      </x:c>
      <x:c r="M15" s="22" t="n">
        <x:f>L15*(1+Assumptions!$D$22+(Assumptions!$D$42-Assumptions!$D$22)*1)</x:f>
        <x:v>673.8833967313916</x:v>
      </x:c>
    </x:row>
    <x:row r="16" ht="23" customHeight="1">
      <x:c r="C16" s="1" t="str">
        <x:v>Tablets</x:v>
      </x:c>
      <x:c r="D16" s="22" t="n">
        <x:f>Evidence!$D$7*Evidence!$D$13/Evidence!$D$10*(1+Assumptions!$D$23+(Assumptions!$D$42-Assumptions!$D$23)*0)</x:f>
        <x:v>97.85014332163286</x:v>
      </x:c>
      <x:c r="E16" s="22" t="n">
        <x:f>D16*(1+Assumptions!$D$23+(Assumptions!$D$42-Assumptions!$D$23)*0)</x:f>
        <x:v>100.78564762128184</x:v>
      </x:c>
      <x:c r="F16" s="22" t="n">
        <x:f>E16*(1+Assumptions!$D$23+(Assumptions!$D$42-Assumptions!$D$23)*0)</x:f>
        <x:v>103.80921704992029</x:v>
      </x:c>
      <x:c r="G16" s="22" t="n">
        <x:f>F16*(1+Assumptions!$D$23+(Assumptions!$D$42-Assumptions!$D$23)*0)</x:f>
        <x:v>106.9234935614179</x:v>
      </x:c>
      <x:c r="H16" s="22" t="n">
        <x:f>G16*(1+Assumptions!$D$23+(Assumptions!$D$42-Assumptions!$D$23)*0)</x:f>
        <x:v>110.13119836826044</x:v>
      </x:c>
      <x:c r="I16" s="22" t="n">
        <x:f>H16*(1+Assumptions!$D$23+(Assumptions!$D$42-Assumptions!$D$23)*0.2)</x:f>
        <x:v>113.65539671604478</x:v>
      </x:c>
      <x:c r="J16" s="22" t="n">
        <x:f>I16*(1+Assumptions!$D$23+(Assumptions!$D$42-Assumptions!$D$23)*0.4)</x:f>
        <x:v>117.5196802043903</x:v>
      </x:c>
      <x:c r="K16" s="22" t="n">
        <x:f>J16*(1+Assumptions!$D$23+(Assumptions!$D$42-Assumptions!$D$23)*0.6)</x:f>
        <x:v>121.75038869174836</x:v>
      </x:c>
      <x:c r="L16" s="22" t="n">
        <x:f>K16*(1+Assumptions!$D$23+(Assumptions!$D$42-Assumptions!$D$23)*0.8)</x:f>
        <x:v>126.3769034620348</x:v>
      </x:c>
      <x:c r="M16" s="22" t="n">
        <x:f>L16*(1+Assumptions!$D$23+(Assumptions!$D$42-Assumptions!$D$23)*1)</x:f>
        <x:v>131.4319796005162</x:v>
      </x:c>
    </x:row>
    <x:row r="17" ht="23" customHeight="1">
      <x:c r="C17" s="1" t="str">
        <x:v>Residual hygiene</x:v>
      </x:c>
      <x:c r="D17" s="22" t="n">
        <x:f>Evidence!$D$7*(Evidence!$D$14/Evidence!$D$10-Assumptions!$D$10)*(1+Assumptions!$D$24+(Assumptions!$D$42-Assumptions!$D$24)*0)</x:f>
        <x:v>111.52521646552063</x:v>
      </x:c>
      <x:c r="E17" s="22" t="n">
        <x:f>D17*(1+Assumptions!$D$24+(Assumptions!$D$42-Assumptions!$D$24)*0)</x:f>
        <x:v>115.98622512414146</x:v>
      </x:c>
      <x:c r="F17" s="22" t="n">
        <x:f>E17*(1+Assumptions!$D$24+(Assumptions!$D$42-Assumptions!$D$24)*0)</x:f>
        <x:v>120.62567412910711</x:v>
      </x:c>
      <x:c r="G17" s="22" t="n">
        <x:f>F17*(1+Assumptions!$D$24+(Assumptions!$D$42-Assumptions!$D$24)*0)</x:f>
        <x:v>125.4507010942714</x:v>
      </x:c>
      <x:c r="H17" s="22" t="n">
        <x:f>G17*(1+Assumptions!$D$24+(Assumptions!$D$42-Assumptions!$D$24)*0)</x:f>
        <x:v>130.46872913804225</x:v>
      </x:c>
      <x:c r="I17" s="22" t="n">
        <x:f>H17*(1+Assumptions!$D$24+(Assumptions!$D$42-Assumptions!$D$24)*0.2)</x:f>
        <x:v>135.68747830356395</x:v>
      </x:c>
      <x:c r="J17" s="22" t="n">
        <x:f>I17*(1+Assumptions!$D$24+(Assumptions!$D$42-Assumptions!$D$24)*0.4)</x:f>
        <x:v>141.11497743570652</x:v>
      </x:c>
      <x:c r="K17" s="22" t="n">
        <x:f>J17*(1+Assumptions!$D$24+(Assumptions!$D$42-Assumptions!$D$24)*0.6)</x:f>
        <x:v>146.75957653313478</x:v>
      </x:c>
      <x:c r="L17" s="22" t="n">
        <x:f>K17*(1+Assumptions!$D$24+(Assumptions!$D$42-Assumptions!$D$24)*0.8)</x:f>
        <x:v>152.62995959446016</x:v>
      </x:c>
      <x:c r="M17" s="22" t="n">
        <x:f>L17*(1+Assumptions!$D$24+(Assumptions!$D$42-Assumptions!$D$24)*1)</x:f>
        <x:v>158.73515797823856</x:v>
      </x:c>
    </x:row>
    <x:row r="18" ht="23" customHeight="1">
      <x:c r="C18" s="1" t="str">
        <x:v>Total PGHH operating revenue</x:v>
      </x:c>
      <x:c r="D18" s="13" t="n">
        <x:f>SUM(D12:D17)</x:f>
        <x:v>4404.206958327686</x:v>
      </x:c>
      <x:c r="E18" s="13" t="n">
        <x:f>SUM(E12:E17)</x:f>
        <x:v>4652.572924051594</x:v>
      </x:c>
      <x:c r="F18" s="13" t="n">
        <x:f>SUM(F12:F17)</x:f>
        <x:v>4984.156359770983</x:v>
      </x:c>
      <x:c r="G18" s="13" t="n">
        <x:f>SUM(G12:G17)</x:f>
        <x:v>5358.430829377977</x:v>
      </x:c>
      <x:c r="H18" s="13" t="n">
        <x:f>SUM(H12:H17)</x:f>
        <x:v>5762.934809554117</x:v>
      </x:c>
      <x:c r="I18" s="13" t="n">
        <x:f>SUM(I12:I17)</x:f>
        <x:v>6124.086003193782</x:v>
      </x:c>
      <x:c r="J18" s="13" t="n">
        <x:f>SUM(J12:J17)</x:f>
        <x:v>6473.979678734146</x:v>
      </x:c>
      <x:c r="K18" s="13" t="n">
        <x:f>SUM(K12:K17)</x:f>
        <x:v>6807.315919800528</x:v>
      </x:c>
      <x:c r="L18" s="13" t="n">
        <x:f>SUM(L12:L17)</x:f>
        <x:v>7118.860628254021</x:v>
      </x:c>
      <x:c r="M18" s="13" t="n">
        <x:f>SUM(M12:M17)</x:f>
        <x:v>7403.615053384184</x:v>
      </x:c>
    </x:row>
    <x:row r="19" ht="23" customHeight="1">
      <x:c r="C19" s="1" t="str">
        <x:v>Company revenue growth</x:v>
      </x:c>
      <x:c r="D19" s="23" t="n">
        <x:f>D18/Evidence!$D$7-1</x:f>
        <x:v>0.03754124605761944</x:v>
      </x:c>
      <x:c r="E19" s="15" t="n">
        <x:f>E18/D18-1</x:f>
        <x:v>0.0563928916315537</x:v>
      </x:c>
      <x:c r="F19" s="15" t="n">
        <x:f>F18/E18-1</x:f>
        <x:v>0.07126883149004715</x:v>
      </x:c>
      <x:c r="G19" s="15" t="n">
        <x:f>G18/F18-1</x:f>
        <x:v>0.07509284271815897</x:v>
      </x:c>
      <x:c r="H19" s="15" t="n">
        <x:f>H18/G18-1</x:f>
        <x:v>0.07548926039287829</x:v>
      </x:c>
      <x:c r="I19" s="15" t="n">
        <x:f>I18/H18-1</x:f>
        <x:v>0.06266792972235735</x:v>
      </x:c>
      <x:c r="J19" s="15" t="n">
        <x:f>J18/I18-1</x:f>
        <x:v>0.057134023813168344</x:v>
      </x:c>
      <x:c r="K19" s="15" t="n">
        <x:f>K18/J18-1</x:f>
        <x:v>0.05148861405316607</x:v>
      </x:c>
      <x:c r="L19" s="15" t="n">
        <x:f>L18/K18-1</x:f>
        <x:v>0.04576615983802057</x:v>
      </x:c>
      <x:c r="M19" s="15" t="n">
        <x:f>M18/L18-1</x:f>
        <x:v>0.04000000000000026</x:v>
      </x:c>
    </x:row>
    <x:row r="20" ht="23" customHeight="1">
      <x:c r="C20" s="1" t="str">
        <x:v>Pad proxy / company revenue</x:v>
      </x:c>
      <x:c r="D20" s="15" t="n">
        <x:f>SUM(D12:D13)/D18</x:f>
        <x:v>0.6468458229277843</x:v>
      </x:c>
      <x:c r="E20" s="15" t="n">
        <x:f>SUM(E12:E13)/E18</x:f>
        <x:v>0.64996313525206</x:v>
      </x:c>
      <x:c r="F20" s="15" t="n">
        <x:f>SUM(F12:F13)/F18</x:f>
        <x:v>0.6578123021697728</x:v>
      </x:c>
      <x:c r="G20" s="15" t="n">
        <x:f>SUM(G12:G13)/G18</x:f>
        <x:v>0.6666176618771092</x:v>
      </x:c>
      <x:c r="H20" s="15" t="n">
        <x:f>SUM(H12:H13)/H18</x:f>
        <x:v>0.6752593326802921</x:v>
      </x:c>
      <x:c r="I20" s="15" t="n">
        <x:f>SUM(I12:I13)/I18</x:f>
        <x:v>0.6802803250848508</x:v>
      </x:c>
      <x:c r="J20" s="15" t="n">
        <x:f>SUM(J12:J13)/J18</x:f>
        <x:v>0.6840202143358063</x:v>
      </x:c>
      <x:c r="K20" s="15" t="n">
        <x:f>SUM(K12:K13)/K18</x:f>
        <x:v>0.6865036506342013</x:v>
      </x:c>
      <x:c r="L20" s="15" t="n">
        <x:f>SUM(L12:L13)/L18</x:f>
        <x:v>0.6877443079650645</x:v>
      </x:c>
      <x:c r="M20" s="15" t="n">
        <x:f>SUM(M12:M13)/M18</x:f>
        <x:v>0.6877443079650645</x:v>
      </x:c>
    </x:row>
    <x:row r="21" ht="23" customHeight="1">
      <x:c r="C21" s="1" t="str">
        <x:v>Lowest modeled share to date</x:v>
      </x:c>
      <x:c r="D21" s="23" t="n">
        <x:f>MIN(Assumptions!$D$7,D10)</x:f>
        <x:v>0.45999999999999996</x:v>
      </x:c>
      <x:c r="E21" s="15" t="n">
        <x:f>MIN(D21,E10)</x:f>
        <x:v>0.45499999999999996</x:v>
      </x:c>
      <x:c r="F21" s="15" t="n">
        <x:f>MIN(E21,F10)</x:f>
        <x:v>0.45499999999999996</x:v>
      </x:c>
      <x:c r="G21" s="15" t="n">
        <x:f>MIN(F21,G10)</x:f>
        <x:v>0.45499999999999996</x:v>
      </x:c>
      <x:c r="H21" s="15" t="n">
        <x:f>MIN(G21,H10)</x:f>
        <x:v>0.45499999999999996</x:v>
      </x:c>
      <x:c r="I21" s="15" t="n">
        <x:f>MIN(H21,I10)</x:f>
        <x:v>0.45499999999999996</x:v>
      </x:c>
      <x:c r="J21" s="15" t="n">
        <x:f>MIN(I21,J10)</x:f>
        <x:v>0.45499999999999996</x:v>
      </x:c>
      <x:c r="K21" s="15" t="n">
        <x:f>MIN(J21,K10)</x:f>
        <x:v>0.45499999999999996</x:v>
      </x:c>
      <x:c r="L21" s="15" t="n">
        <x:f>MIN(K21,L10)</x:f>
        <x:v>0.45499999999999996</x:v>
      </x:c>
      <x:c r="M21" s="15" t="n">
        <x:f>MIN(L21,M10)</x:f>
        <x:v>0.45499999999999996</x:v>
      </x:c>
    </x:row>
    <x:row r="22" ht="23" customHeight="1">
      <x:c r="C22" s="1" t="str">
        <x:v>Marketing cost of share regained</x:v>
      </x:c>
      <x:c r="D22" s="25" t="n">
        <x:f>MAX(0,D10-D21)*Assumptions!$D$37</x:f>
        <x:v>0</x:v>
      </x:c>
      <x:c r="E22" s="25" t="n">
        <x:f>MAX(0,E10-E21)*Assumptions!$D$37</x:f>
        <x:v>0</x:v>
      </x:c>
      <x:c r="F22" s="25" t="n">
        <x:f>MAX(0,F10-F21)*Assumptions!$D$37</x:f>
        <x:v>0.0007500000000000007</x:v>
      </x:c>
      <x:c r="G22" s="25" t="n">
        <x:f>MAX(0,G10-G21)*Assumptions!$D$37</x:f>
        <x:v>0.0015000000000000013</x:v>
      </x:c>
      <x:c r="H22" s="25" t="n">
        <x:f>MAX(0,H10-H21)*Assumptions!$D$37</x:f>
        <x:v>0.002250000000000002</x:v>
      </x:c>
      <x:c r="I22" s="25" t="n">
        <x:f>MAX(0,I10-I21)*Assumptions!$D$37</x:f>
        <x:v>0.002250000000000002</x:v>
      </x:c>
      <x:c r="J22" s="25" t="n">
        <x:f>MAX(0,J10-J21)*Assumptions!$D$37</x:f>
        <x:v>0.002250000000000002</x:v>
      </x:c>
      <x:c r="K22" s="25" t="n">
        <x:f>MAX(0,K10-K21)*Assumptions!$D$37</x:f>
        <x:v>0.002250000000000002</x:v>
      </x:c>
      <x:c r="L22" s="25" t="n">
        <x:f>MAX(0,L10-L21)*Assumptions!$D$37</x:f>
        <x:v>0.002250000000000002</x:v>
      </x:c>
      <x:c r="M22" s="25" t="n">
        <x:f>MAX(0,M10-M21)*Assumptions!$D$37</x:f>
        <x:v>0.002250000000000002</x:v>
      </x:c>
    </x:row>
    <x:row r="23" ht="23" customHeight="1">
      <x:c r="C23" s="1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 t="str">
        <x:v>No separate execution multiplier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 t="str">
        <x:v>Retail value share is not volume share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expenses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/>
      <x:c r="D6" s="10" t="str">
        <x:v>Year 1</x:v>
      </x:c>
      <x:c r="E6" s="10" t="str">
        <x:v>Year 2</x:v>
      </x:c>
      <x:c r="F6" s="10" t="str">
        <x:v>Year 3</x:v>
      </x:c>
      <x:c r="G6" s="10" t="str">
        <x:v>Year 4</x:v>
      </x:c>
      <x:c r="H6" s="10" t="str">
        <x:v>Year 5</x:v>
      </x:c>
      <x:c r="I6" s="10" t="str">
        <x:v>Year 6</x:v>
      </x:c>
      <x:c r="J6" s="10" t="str">
        <x:v>Year 7</x:v>
      </x:c>
      <x:c r="K6" s="10" t="str">
        <x:v>Year 8</x:v>
      </x:c>
      <x:c r="L6" s="10" t="str">
        <x:v>Year 9</x:v>
      </x:c>
      <x:c r="M6" s="10" t="str">
        <x:v>Year 10</x:v>
      </x:c>
    </x:row>
    <x:row r="7" ht="23" customHeight="1">
      <x:c r="C7" s="1" t="str">
        <x:v>Materials / inventory incl. mix</x:v>
      </x:c>
      <x:c r="D7" s="22" t="n">
        <x:f>Revenue!D18*(Evidence!$D$15/Evidence!$D$7-(Revenue!D20-Assumptions!$D$10)*Assumptions!$D$40)</x:f>
        <x:v>1664.4547931630148</x:v>
      </x:c>
      <x:c r="E7" s="22" t="n">
        <x:f>Revenue!E18*(Evidence!$D$15/Evidence!$D$7-(Revenue!E20-Assumptions!$D$10)*Assumptions!$D$40)</x:f>
        <x:v>1758.3182119394767</x:v>
      </x:c>
      <x:c r="F7" s="22" t="n">
        <x:f>Revenue!F18*(Evidence!$D$15/Evidence!$D$7-(Revenue!F20-Assumptions!$D$10)*Assumptions!$D$40)</x:f>
        <x:v>1883.6314962920721</x:v>
      </x:c>
      <x:c r="G7" s="22" t="n">
        <x:f>Revenue!G18*(Evidence!$D$15/Evidence!$D$7-(Revenue!G20-Assumptions!$D$10)*Assumptions!$D$40)</x:f>
        <x:v>2025.0787399821031</x:v>
      </x:c>
      <x:c r="H7" s="22" t="n">
        <x:f>Revenue!H18*(Evidence!$D$15/Evidence!$D$7-(Revenue!H20-Assumptions!$D$10)*Assumptions!$D$40)</x:f>
        <x:v>2177.950436300694</x:v>
      </x:c>
      <x:c r="I7" s="22" t="n">
        <x:f>Revenue!I18*(Evidence!$D$15/Evidence!$D$7-(Revenue!I20-Assumptions!$D$10)*Assumptions!$D$40)</x:f>
        <x:v>2314.4380811815636</x:v>
      </x:c>
      <x:c r="J7" s="22" t="n">
        <x:f>Revenue!J18*(Evidence!$D$15/Evidence!$D$7-(Revenue!J20-Assumptions!$D$10)*Assumptions!$D$40)</x:f>
        <x:v>2446.6712416258943</x:v>
      </x:c>
      <x:c r="K7" s="22" t="n">
        <x:f>Revenue!K18*(Evidence!$D$15/Evidence!$D$7-(Revenue!K20-Assumptions!$D$10)*Assumptions!$D$40)</x:f>
        <x:v>2572.6469529009505</x:v>
      </x:c>
      <x:c r="L7" s="22" t="n">
        <x:f>Revenue!L18*(Evidence!$D$15/Evidence!$D$7-(Revenue!L20-Assumptions!$D$10)*Assumptions!$D$40)</x:f>
        <x:v>2690.3871245542123</x:v>
      </x:c>
      <x:c r="M7" s="22" t="n">
        <x:f>Revenue!M18*(Evidence!$D$15/Evidence!$D$7-(Revenue!M20-Assumptions!$D$10)*Assumptions!$D$40)</x:f>
        <x:v>2798.002609536381</x:v>
      </x:c>
    </x:row>
    <x:row r="8" ht="23" customHeight="1">
      <x:c r="C8" s="1" t="str">
        <x:v>Employee costs</x:v>
      </x:c>
      <x:c r="D8" s="22" t="n">
        <x:f>Evidence!$D$16*(Assumptions!$D$35*(1+Assumptions!$D$32)+(1-Assumptions!$D$35)*(Revenue!D18/Evidence!$D$7))</x:f>
        <x:v>230.82987328282127</x:v>
      </x:c>
      <x:c r="E8" s="22" t="n">
        <x:f>D8*(Assumptions!$D$35*(1+Assumptions!$D$32)+(1-Assumptions!$D$35)*(Revenue!E18/Revenue!D18))</x:f>
        <x:v>243.10920212957353</x:v>
      </x:c>
      <x:c r="F8" s="22" t="n">
        <x:f>E8*(Assumptions!$D$35*(1+Assumptions!$D$32)+(1-Assumptions!$D$35)*(Revenue!F18/Revenue!E18))</x:f>
        <x:v>257.8499865629391</x:v>
      </x:c>
      <x:c r="G8" s="22" t="n">
        <x:f>F8*(Assumptions!$D$35*(1+Assumptions!$D$32)+(1-Assumptions!$D$35)*(Revenue!G18/Revenue!F18))</x:f>
        <x:v>273.9775804699376</x:v>
      </x:c>
      <x:c r="H8" s="22" t="n">
        <x:f>G8*(Assumptions!$D$35*(1+Assumptions!$D$32)+(1-Assumptions!$D$35)*(Revenue!H18/Revenue!G18))</x:f>
        <x:v>291.168202438639</x:v>
      </x:c>
      <x:c r="I8" s="22" t="n">
        <x:f>H8*(Assumptions!$D$35*(1+Assumptions!$D$32)+(1-Assumptions!$D$35)*(Revenue!I18/Revenue!H18))</x:f>
        <x:v>307.5708617235099</x:v>
      </x:c>
      <x:c r="J8" s="22" t="n">
        <x:f>I8*(Assumptions!$D$35*(1+Assumptions!$D$32)+(1-Assumptions!$D$35)*(Revenue!J18/Revenue!I18))</x:f>
        <x:v>324.0465137355715</x:v>
      </x:c>
      <x:c r="K8" s="22" t="n">
        <x:f>J8*(Assumptions!$D$35*(1+Assumptions!$D$32)+(1-Assumptions!$D$35)*(Revenue!K18/Revenue!J18))</x:f>
        <x:v>340.4900295194633</x:v>
      </x:c>
      <x:c r="L8" s="22" t="n">
        <x:f>K8*(Assumptions!$D$35*(1+Assumptions!$D$32)+(1-Assumptions!$D$35)*(Revenue!L18/Revenue!K18))</x:f>
        <x:v>356.7937408145699</x:v>
      </x:c>
      <x:c r="M8" s="22" t="n">
        <x:f>L8*(Assumptions!$D$35*(1+Assumptions!$D$32)+(1-Assumptions!$D$35)*(Revenue!M18/Revenue!L18))</x:f>
        <x:v>372.8494591512256</x:v>
      </x:c>
    </x:row>
    <x:row r="9" ht="23" customHeight="1">
      <x:c r="C9" s="1" t="str">
        <x:v>Royalty</x:v>
      </x:c>
      <x:c r="D9" s="22" t="n">
        <x:f>Revenue!D18*(Evidence!$D$20/Evidence!$D$7+Assumptions!$D$38)</x:f>
        <x:v>193.4068536456849</x:v>
      </x:c>
      <x:c r="E9" s="22" t="n">
        <x:f>Revenue!E18*(Evidence!$D$20/Evidence!$D$7+Assumptions!$D$38)</x:f>
        <x:v>204.31362538412574</x:v>
      </x:c>
      <x:c r="F9" s="22" t="n">
        <x:f>Revenue!F18*(Evidence!$D$20/Evidence!$D$7+Assumptions!$D$38)</x:f>
        <x:v>218.87481872274762</x:v>
      </x:c>
      <x:c r="G9" s="22" t="n">
        <x:f>Revenue!G18*(Evidence!$D$20/Evidence!$D$7+Assumptions!$D$38)</x:f>
        <x:v>235.31075106006045</x:v>
      </x:c>
      <x:c r="H9" s="22" t="n">
        <x:f>Revenue!H18*(Evidence!$D$20/Evidence!$D$7+Assumptions!$D$38)</x:f>
        <x:v>253.07418562007712</x:v>
      </x:c>
      <x:c r="I9" s="22" t="n">
        <x:f>Revenue!I18*(Evidence!$D$20/Evidence!$D$7+Assumptions!$D$38)</x:f>
        <x:v>268.93382089905896</x:v>
      </x:c>
      <x:c r="J9" s="22" t="n">
        <x:f>Revenue!J18*(Evidence!$D$20/Evidence!$D$7+Assumptions!$D$38)</x:f>
        <x:v>284.2990922264721</x:v>
      </x:c>
      <x:c r="K9" s="22" t="n">
        <x:f>Revenue!K18*(Evidence!$D$20/Evidence!$D$7+Assumptions!$D$38)</x:f>
        <x:v>298.93725846178637</x:v>
      </x:c>
      <x:c r="L9" s="22" t="n">
        <x:f>Revenue!L18*(Evidence!$D$20/Evidence!$D$7+Assumptions!$D$38)</x:f>
        <x:v>312.61846881408815</x:v>
      </x:c>
      <x:c r="M9" s="22" t="n">
        <x:f>Revenue!M18*(Evidence!$D$20/Evidence!$D$7+Assumptions!$D$38)</x:f>
        <x:v>325.1232075666518</x:v>
      </x:c>
    </x:row>
    <x:row r="10" ht="23" customHeight="1">
      <x:c r="C10" s="1" t="str">
        <x:v>Processing</x:v>
      </x:c>
      <x:c r="D10" s="22" t="n">
        <x:f>Revenue!D18*Evidence!$D$21/Evidence!$D$7</x:f>
        <x:v>225.5164358442785</x:v>
      </x:c>
      <x:c r="E10" s="22" t="n">
        <x:f>Revenue!E18*Evidence!$D$21/Evidence!$D$7</x:f>
        <x:v>238.23395977197913</x:v>
      </x:c>
      <x:c r="F10" s="22" t="n">
        <x:f>Revenue!F18*Evidence!$D$21/Evidence!$D$7</x:f>
        <x:v>255.212615706175</x:v>
      </x:c>
      <x:c r="G10" s="22" t="n">
        <x:f>Revenue!G18*Evidence!$D$21/Evidence!$D$7</x:f>
        <x:v>274.3772565170887</x:v>
      </x:c>
      <x:c r="H10" s="22" t="n">
        <x:f>Revenue!H18*Evidence!$D$21/Evidence!$D$7</x:f>
        <x:v>295.0897926801907</x:v>
      </x:c>
      <x:c r="I10" s="22" t="n">
        <x:f>Revenue!I18*Evidence!$D$21/Evidence!$D$7</x:f>
        <x:v>313.582459069658</x:v>
      </x:c>
      <x:c r="J10" s="22" t="n">
        <x:f>Revenue!J18*Evidence!$D$21/Evidence!$D$7</x:f>
        <x:v>331.49868675353565</x:v>
      </x:c>
      <x:c r="K10" s="22" t="n">
        <x:f>Revenue!K18*Evidence!$D$21/Evidence!$D$7</x:f>
        <x:v>348.56709469491983</x:v>
      </x:c>
      <x:c r="L10" s="22" t="n">
        <x:f>Revenue!L18*Evidence!$D$21/Evidence!$D$7</x:f>
        <x:v>364.519672065002</x:v>
      </x:c>
      <x:c r="M10" s="22" t="n">
        <x:f>Revenue!M18*Evidence!$D$21/Evidence!$D$7</x:f>
        <x:v>379.10045894760214</x:v>
      </x:c>
    </x:row>
    <x:row r="11" ht="23" customHeight="1">
      <x:c r="C11" s="1" t="str">
        <x:v>Freight</x:v>
      </x:c>
      <x:c r="D11" s="22" t="n">
        <x:f>Revenue!D18*Evidence!$D$22/Evidence!$D$7</x:f>
        <x:v>87.66490792071276</x:v>
      </x:c>
      <x:c r="E11" s="22" t="n">
        <x:f>Revenue!E18*Evidence!$D$22/Evidence!$D$7</x:f>
        <x:v>92.60858557297566</x:v>
      </x:c>
      <x:c r="F11" s="22" t="n">
        <x:f>Revenue!F18*Evidence!$D$22/Evidence!$D$7</x:f>
        <x:v>99.20869125270765</x:v>
      </x:c>
      <x:c r="G11" s="22" t="n">
        <x:f>Revenue!G18*Evidence!$D$22/Evidence!$D$7</x:f>
        <x:v>106.65855390122162</x:v>
      </x:c>
      <x:c r="H11" s="22" t="n">
        <x:f>Revenue!H18*Evidence!$D$22/Evidence!$D$7</x:f>
        <x:v>114.71012924979878</x:v>
      </x:c>
      <x:c r="I11" s="22" t="n">
        <x:f>Revenue!I18*Evidence!$D$22/Evidence!$D$7</x:f>
        <x:v>121.8987755680677</x:v>
      </x:c>
      <x:c r="J11" s="22" t="n">
        <x:f>Revenue!J18*Evidence!$D$22/Evidence!$D$7</x:f>
        <x:v>128.86334311416974</x:v>
      </x:c>
      <x:c r="K11" s="22" t="n">
        <x:f>Revenue!K18*Evidence!$D$22/Evidence!$D$7</x:f>
        <x:v>135.49833805337593</x:v>
      </x:c>
      <x:c r="L11" s="22" t="n">
        <x:f>Revenue!L18*Evidence!$D$22/Evidence!$D$7</x:f>
        <x:v>141.69957665051288</x:v>
      </x:c>
      <x:c r="M11" s="22" t="n">
        <x:f>Revenue!M18*Evidence!$D$22/Evidence!$D$7</x:f>
        <x:v>147.36755971653344</x:v>
      </x:c>
    </x:row>
    <x:row r="12" ht="23" customHeight="1">
      <x:c r="C12" s="1" t="str">
        <x:v>Energy</x:v>
      </x:c>
      <x:c r="D12" s="22" t="n">
        <x:f>Revenue!D18*Evidence!$D$23/Evidence!$D$7</x:f>
        <x:v>10.952980884238933</x:v>
      </x:c>
      <x:c r="E12" s="22" t="n">
        <x:f>Revenue!E18*Evidence!$D$23/Evidence!$D$7</x:f>
        <x:v>11.570651148286299</x:v>
      </x:c>
      <x:c r="F12" s="22" t="n">
        <x:f>Revenue!F18*Evidence!$D$23/Evidence!$D$7</x:f>
        <x:v>12.395277935203637</x:v>
      </x:c>
      <x:c r="G12" s="22" t="n">
        <x:f>Revenue!G18*Evidence!$D$23/Evidence!$D$7</x:f>
        <x:v>13.326074591639747</x:v>
      </x:c>
      <x:c r="H12" s="22" t="n">
        <x:f>Revenue!H18*Evidence!$D$23/Evidence!$D$7</x:f>
        <x:v>14.332050106502958</x:v>
      </x:c>
      <x:c r="I12" s="22" t="n">
        <x:f>Revenue!I18*Evidence!$D$23/Evidence!$D$7</x:f>
        <x:v>15.230210015354592</x:v>
      </x:c>
      <x:c r="J12" s="22" t="n">
        <x:f>Revenue!J18*Evidence!$D$23/Evidence!$D$7</x:f>
        <x:v>16.100373197051415</x:v>
      </x:c>
      <x:c r="K12" s="22" t="n">
        <x:f>Revenue!K18*Evidence!$D$23/Evidence!$D$7</x:f>
        <x:v>16.929359098706332</x:v>
      </x:c>
      <x:c r="L12" s="22" t="n">
        <x:f>Revenue!L18*Evidence!$D$23/Evidence!$D$7</x:f>
        <x:v>17.704150853172976</x:v>
      </x:c>
      <x:c r="M12" s="22" t="n">
        <x:f>Revenue!M18*Evidence!$D$23/Evidence!$D$7</x:f>
        <x:v>18.412316887299898</x:v>
      </x:c>
    </x:row>
    <x:row r="13" ht="23" customHeight="1">
      <x:c r="C13" s="1" t="str">
        <x:v>BPO</x:v>
      </x:c>
      <x:c r="D13" s="22" t="n">
        <x:f>Evidence!$D$24*(Assumptions!$D$35*(1+Assumptions!$D$33)+(1-Assumptions!$D$35)*(Revenue!D18/Evidence!$D$7))</x:f>
        <x:v>103.20647720564291</x:v>
      </x:c>
      <x:c r="E13" s="22" t="n">
        <x:f>D13*(Assumptions!$D$35*(1+Assumptions!$D$33)+(1-Assumptions!$D$35)*(Revenue!E18/Revenue!D18))</x:f>
        <x:v>108.69669497815012</x:v>
      </x:c>
      <x:c r="F13" s="22" t="n">
        <x:f>E13*(Assumptions!$D$35*(1+Assumptions!$D$33)+(1-Assumptions!$D$35)*(Revenue!F18/Revenue!E18))</x:f>
        <x:v>115.28745557156529</x:v>
      </x:c>
      <x:c r="G13" s="22" t="n">
        <x:f>F13*(Assumptions!$D$35*(1+Assumptions!$D$33)+(1-Assumptions!$D$35)*(Revenue!G18/Revenue!F18))</x:f>
        <x:v>122.49827334516056</x:v>
      </x:c>
      <x:c r="H13" s="22" t="n">
        <x:f>G13*(Assumptions!$D$35*(1+Assumptions!$D$33)+(1-Assumptions!$D$35)*(Revenue!H18/Revenue!G18))</x:f>
        <x:v>130.18438220590497</x:v>
      </x:c>
      <x:c r="I13" s="22" t="n">
        <x:f>H13*(Assumptions!$D$35*(1+Assumptions!$D$33)+(1-Assumptions!$D$35)*(Revenue!I18/Revenue!H18))</x:f>
        <x:v>137.51818461856666</x:v>
      </x:c>
      <x:c r="J13" s="22" t="n">
        <x:f>I13*(Assumptions!$D$35*(1+Assumptions!$D$33)+(1-Assumptions!$D$35)*(Revenue!J18/Revenue!I18))</x:f>
        <x:v>144.88462285140128</x:v>
      </x:c>
      <x:c r="K13" s="22" t="n">
        <x:f>J13*(Assumptions!$D$35*(1+Assumptions!$D$33)+(1-Assumptions!$D$35)*(Revenue!K18/Revenue!J18))</x:f>
        <x:v>152.2366926368035</x:v>
      </x:c>
      <x:c r="L13" s="22" t="n">
        <x:f>K13*(Assumptions!$D$35*(1+Assumptions!$D$33)+(1-Assumptions!$D$35)*(Revenue!L18/Revenue!K18))</x:f>
        <x:v>159.52625435693736</x:v>
      </x:c>
      <x:c r="M13" s="22" t="n">
        <x:f>L13*(Assumptions!$D$35*(1+Assumptions!$D$33)+(1-Assumptions!$D$35)*(Revenue!M18/Revenue!L18))</x:f>
        <x:v>166.70493580299956</x:v>
      </x:c>
    </x:row>
    <x:row r="14" ht="23" customHeight="1">
      <x:c r="C14" s="1" t="str">
        <x:v>Residual operating costs</x:v>
      </x:c>
      <x:c r="D14" s="22" t="n">
        <x:f>Evidence!$D$25*(Assumptions!$D$35*(1+Assumptions!$D$34)+(1-Assumptions!$D$35)*(Revenue!D18/Evidence!$D$7))</x:f>
        <x:v>217.66031532127735</x:v>
      </x:c>
      <x:c r="E14" s="22" t="n">
        <x:f>D14*(Assumptions!$D$35*(1+Assumptions!$D$34)+(1-Assumptions!$D$35)*(Revenue!E18/Revenue!D18))</x:f>
        <x:v>228.1507689149042</x:v>
      </x:c>
      <x:c r="F14" s="22" t="n">
        <x:f>E14*(Assumptions!$D$35*(1+Assumptions!$D$34)+(1-Assumptions!$D$35)*(Revenue!F18/Revenue!E18))</x:f>
        <x:v>240.84380364526282</x:v>
      </x:c>
      <x:c r="G14" s="22" t="n">
        <x:f>F14*(Assumptions!$D$35*(1+Assumptions!$D$34)+(1-Assumptions!$D$35)*(Revenue!G18/Revenue!F18))</x:f>
        <x:v>254.70350265155653</x:v>
      </x:c>
      <x:c r="H14" s="22" t="n">
        <x:f>G14*(Assumptions!$D$35*(1+Assumptions!$D$34)+(1-Assumptions!$D$35)*(Revenue!H18/Revenue!G18))</x:f>
        <x:v>269.4112622219084</x:v>
      </x:c>
      <x:c r="I14" s="22" t="n">
        <x:f>H14*(Assumptions!$D$35*(1+Assumptions!$D$34)+(1-Assumptions!$D$35)*(Revenue!I18/Revenue!H18))</x:f>
        <x:v>283.2412104900136</x:v>
      </x:c>
      <x:c r="J14" s="22" t="n">
        <x:f>I14*(Assumptions!$D$35*(1+Assumptions!$D$34)+(1-Assumptions!$D$35)*(Revenue!J18/Revenue!I18))</x:f>
        <x:v>296.9973897323174</x:v>
      </x:c>
      <x:c r="K14" s="22" t="n">
        <x:f>J14*(Assumptions!$D$35*(1+Assumptions!$D$34)+(1-Assumptions!$D$35)*(Revenue!K18/Revenue!J18))</x:f>
        <x:v>310.5833295143263</x:v>
      </x:c>
      <x:c r="L14" s="22" t="n">
        <x:f>K14*(Assumptions!$D$35*(1+Assumptions!$D$34)+(1-Assumptions!$D$35)*(Revenue!L18/Revenue!K18))</x:f>
        <x:v>323.9020992554015</x:v>
      </x:c>
      <x:c r="M14" s="22" t="n">
        <x:f>L14*(Assumptions!$D$35*(1+Assumptions!$D$34)+(1-Assumptions!$D$35)*(Revenue!M18/Revenue!L18))</x:f>
        <x:v>336.85818322561755</x:v>
      </x:c>
    </x:row>
    <x:row r="15" ht="23" customHeight="1">
      <x:c r="C15" s="1" t="str">
        <x:v>Advertising / promotion</x:v>
      </x:c>
      <x:c r="D15" s="22" t="n">
        <x:f>Revenue!D18*(Evidence!$D$17/Evidence!$D$7+Assumptions!$D$36*1+Revenue!D22)</x:f>
        <x:v>579.5023217108579</x:v>
      </x:c>
      <x:c r="E15" s="22" t="n">
        <x:f>Revenue!E18*(Evidence!$D$17/Evidence!$D$7+Assumptions!$D$36*0.6666666666666667+Revenue!E22)</x:f>
        <x:v>604.4278451325794</x:v>
      </x:c>
      <x:c r="F15" s="22" t="n">
        <x:f>Revenue!F18*(Evidence!$D$17/Evidence!$D$7+Assumptions!$D$36*0.33333333333333337+Revenue!F22)</x:f>
        <x:v>642.9359013787688</x:v>
      </x:c>
      <x:c r="G15" s="22" t="n">
        <x:f>Revenue!G18*(Evidence!$D$17/Evidence!$D$7+Assumptions!$D$36*0+Revenue!G22)</x:f>
        <x:v>686.3038909719326</x:v>
      </x:c>
      <x:c r="H15" s="22" t="n">
        <x:f>Revenue!H18*(Evidence!$D$17/Evidence!$D$7+Assumptions!$D$36*0+Revenue!H22)</x:f>
        <x:v>742.4346652133239</x:v>
      </x:c>
      <x:c r="I15" s="22" t="n">
        <x:f>Revenue!I18*(Evidence!$D$17/Evidence!$D$7+Assumptions!$D$36*0+Revenue!I22)</x:f>
        <x:v>788.9615086363544</x:v>
      </x:c>
      <x:c r="J15" s="22" t="n">
        <x:f>Revenue!J18*(Evidence!$D$17/Evidence!$D$7+Assumptions!$D$36*0+Revenue!J22)</x:f>
        <x:v>834.038054258457</x:v>
      </x:c>
      <x:c r="K15" s="22" t="n">
        <x:f>Revenue!K18*(Evidence!$D$17/Evidence!$D$7+Assumptions!$D$36*0+Revenue!K22)</x:f>
        <x:v>876.9815177398242</x:v>
      </x:c>
      <x:c r="L15" s="22" t="n">
        <x:f>Revenue!L18*(Evidence!$D$17/Evidence!$D$7+Assumptions!$D$36*0+Revenue!L22)</x:f>
        <x:v>917.117594055695</x:v>
      </x:c>
      <x:c r="M15" s="22" t="n">
        <x:f>Revenue!M18*(Evidence!$D$17/Evidence!$D$7+Assumptions!$D$36*0+Revenue!M22)</x:f>
        <x:v>953.802297817923</x:v>
      </x:c>
    </x:row>
    <x:row r="16" ht="23" customHeight="1">
      <x:c r="C16" s="1" t="str">
        <x:v>Depreciation</x:v>
      </x:c>
      <x:c r="D16" s="22" t="n">
        <x:f>Revenue!D18*Assumptions!$D$46</x:f>
        <x:v>39.353939462965506</x:v>
      </x:c>
      <x:c r="E16" s="22" t="n">
        <x:f>Revenue!E18*Assumptions!$D$46</x:f>
        <x:v>41.573221906375245</x:v>
      </x:c>
      <x:c r="F16" s="22" t="n">
        <x:f>Revenue!F18*Assumptions!$D$46</x:f>
        <x:v>44.53609685291904</x:v>
      </x:c>
      <x:c r="G16" s="22" t="n">
        <x:f>Revenue!G18*Assumptions!$D$46</x:f>
        <x:v>47.88043896917598</x:v>
      </x:c>
      <x:c r="H16" s="22" t="n">
        <x:f>Revenue!H18*Assumptions!$D$46</x:f>
        <x:v>51.49489789424542</x:v>
      </x:c>
      <x:c r="I16" s="22" t="n">
        <x:f>Revenue!I18*Assumptions!$D$46</x:f>
        <x:v>54.72197653654196</x:v>
      </x:c>
      <x:c r="J16" s="22" t="n">
        <x:f>Revenue!J18*Assumptions!$D$46</x:f>
        <x:v>57.84846324708438</x:v>
      </x:c>
      <x:c r="K16" s="22" t="n">
        <x:f>Revenue!K18*Assumptions!$D$46</x:f>
        <x:v>60.827000444782264</x:v>
      </x:c>
      <x:c r="L16" s="22" t="n">
        <x:f>Revenue!L18*Assumptions!$D$46</x:f>
        <x:v>63.61081866960553</x:v>
      </x:c>
      <x:c r="M16" s="22" t="n">
        <x:f>Revenue!M18*Assumptions!$D$46</x:f>
        <x:v>66.15525141638976</x:v>
      </x:c>
    </x:row>
    <x:row r="17" ht="23" customHeight="1">
      <x:c r="C17" s="1" t="str">
        <x:v>Incremental macro costs</x:v>
      </x:c>
      <x:c r="D17" s="22" t="n">
        <x:f>Revenue!D18*$D$25*(Assumptions!$D$31+(1-Assumptions!$D$31)*MAX(0,1-0/Assumptions!$D$30))</x:f>
        <x:v>26.155722329332153</x:v>
      </x:c>
      <x:c r="E17" s="22" t="n">
        <x:f>Revenue!E18*$D$25*(Assumptions!$D$31+(1-Assumptions!$D$31)*MAX(0,1-1/Assumptions!$D$30))</x:f>
        <x:v>22.44995930465859</x:v>
      </x:c>
      <x:c r="F17" s="22" t="n">
        <x:f>Revenue!F18*$D$25*(Assumptions!$D$31+(1-Assumptions!$D$31)*MAX(0,1-2/Assumptions!$D$30))</x:f>
        <x:v>18.499955131769784</x:v>
      </x:c>
      <x:c r="G17" s="22" t="n">
        <x:f>Revenue!G18*$D$25*(Assumptions!$D$31+(1-Assumptions!$D$31)*MAX(0,1-3/Assumptions!$D$30))</x:f>
        <x:v>13.922418546940941</x:v>
      </x:c>
      <x:c r="H17" s="22" t="n">
        <x:f>Revenue!H18*$D$25*(Assumptions!$D$31+(1-Assumptions!$D$31)*MAX(0,1-4/Assumptions!$D$30))</x:f>
        <x:v>8.556235214816915</x:v>
      </x:c>
      <x:c r="I17" s="22" t="n">
        <x:f>Revenue!I18*$D$25*(Assumptions!$D$31+(1-Assumptions!$D$31)*MAX(0,1-5/Assumptions!$D$30))</x:f>
        <x:v>9.092436761947022</x:v>
      </x:c>
      <x:c r="J17" s="22" t="n">
        <x:f>Revenue!J18*$D$25*(Assumptions!$D$31+(1-Assumptions!$D$31)*MAX(0,1-6/Assumptions!$D$30))</x:f>
        <x:v>9.611924260423828</x:v>
      </x:c>
      <x:c r="K17" s="22" t="n">
        <x:f>Revenue!K18*$D$25*(Assumptions!$D$31+(1-Assumptions!$D$31)*MAX(0,1-7/Assumptions!$D$30))</x:f>
        <x:v>10.106828918977055</x:v>
      </x:c>
      <x:c r="L17" s="22" t="n">
        <x:f>Revenue!L18*$D$25*(Assumptions!$D$31+(1-Assumptions!$D$31)*MAX(0,1-8/Assumptions!$D$30))</x:f>
        <x:v>10.569379666738488</x:v>
      </x:c>
      <x:c r="M17" s="22" t="n">
        <x:f>Revenue!M18*$D$25*(Assumptions!$D$31+(1-Assumptions!$D$31)*MAX(0,1-9/Assumptions!$D$30))</x:f>
        <x:v>10.99215485340803</x:v>
      </x:c>
    </x:row>
    <x:row r="18" ht="23" customHeight="1">
      <x:c r="C18" s="1" t="str">
        <x:v>Future productivity savings</x:v>
      </x:c>
      <x:c r="D18" s="22" t="n">
        <x:f>Revenue!D18*Assumptions!$D$39*1</x:f>
        <x:v>0</x:v>
      </x:c>
      <x:c r="E18" s="22" t="n">
        <x:f>Revenue!E18*Assumptions!$D$39*2</x:f>
        <x:v>0</x:v>
      </x:c>
      <x:c r="F18" s="22" t="n">
        <x:f>Revenue!F18*Assumptions!$D$39*3</x:f>
        <x:v>0</x:v>
      </x:c>
      <x:c r="G18" s="22" t="n">
        <x:f>Revenue!G18*Assumptions!$D$39*4</x:f>
        <x:v>0</x:v>
      </x:c>
      <x:c r="H18" s="22" t="n">
        <x:f>Revenue!H18*Assumptions!$D$39*5</x:f>
        <x:v>0</x:v>
      </x:c>
      <x:c r="I18" s="22" t="n">
        <x:f>Revenue!I18*Assumptions!$D$39*5</x:f>
        <x:v>0</x:v>
      </x:c>
      <x:c r="J18" s="22" t="n">
        <x:f>Revenue!J18*Assumptions!$D$39*5</x:f>
        <x:v>0</x:v>
      </x:c>
      <x:c r="K18" s="22" t="n">
        <x:f>Revenue!K18*Assumptions!$D$39*5</x:f>
        <x:v>0</x:v>
      </x:c>
      <x:c r="L18" s="22" t="n">
        <x:f>Revenue!L18*Assumptions!$D$39*5</x:f>
        <x:v>0</x:v>
      </x:c>
      <x:c r="M18" s="22" t="n">
        <x:f>Revenue!M18*Assumptions!$D$39*5</x:f>
        <x:v>0</x:v>
      </x:c>
    </x:row>
    <x:row r="19" ht="23" customHeight="1">
      <x:c r="C19" s="1" t="str">
        <x:v>Total operating costs</x:v>
      </x:c>
      <x:c r="D19" s="13" t="n">
        <x:f>SUM(D7:D17)-D18</x:f>
        <x:v>3378.7046207708268</x:v>
      </x:c>
      <x:c r="E19" s="13" t="n">
        <x:f>SUM(E7:E17)-E18</x:f>
        <x:v>3553.4527261830845</x:v>
      </x:c>
      <x:c r="F19" s="13" t="n">
        <x:f>SUM(F7:F17)-F18</x:f>
        <x:v>3789.2760990521297</x:v>
      </x:c>
      <x:c r="G19" s="13" t="n">
        <x:f>SUM(G7:G17)-G18</x:f>
        <x:v>4054.037481006818</x:v>
      </x:c>
      <x:c r="H19" s="13" t="n">
        <x:f>SUM(H7:H17)-H18</x:f>
        <x:v>4348.406239146103</x:v>
      </x:c>
      <x:c r="I19" s="13" t="n">
        <x:f>SUM(I7:I17)-I18</x:f>
        <x:v>4615.189525500637</x:v>
      </x:c>
      <x:c r="J19" s="13" t="n">
        <x:f>SUM(J7:J17)-J18</x:f>
        <x:v>4874.859705002378</x:v>
      </x:c>
      <x:c r="K19" s="13" t="n">
        <x:f>SUM(K7:K17)-K18</x:f>
        <x:v>5123.804401983915</x:v>
      </x:c>
      <x:c r="L19" s="13" t="n">
        <x:f>SUM(L7:L17)-L18</x:f>
        <x:v>5358.448879755936</x:v>
      </x:c>
      <x:c r="M19" s="13" t="n">
        <x:f>SUM(M7:M17)-M18</x:f>
        <x:v>5575.368434922032</x:v>
      </x:c>
    </x:row>
    <x:row r="20" ht="23" customHeight="1">
      <x:c r="C20" s="1" t="str">
        <x:v>Operating profit (EBIT)</x:v>
      </x:c>
      <x:c r="D20" s="22" t="n">
        <x:f>Revenue!D18-D19</x:f>
        <x:v>1025.5023375568594</x:v>
      </x:c>
      <x:c r="E20" s="22" t="n">
        <x:f>Revenue!E18-E19</x:f>
        <x:v>1099.1201978685094</x:v>
      </x:c>
      <x:c r="F20" s="22" t="n">
        <x:f>Revenue!F18-F19</x:f>
        <x:v>1194.8802607188532</x:v>
      </x:c>
      <x:c r="G20" s="22" t="n">
        <x:f>Revenue!G18-G19</x:f>
        <x:v>1304.393348371159</x:v>
      </x:c>
      <x:c r="H20" s="22" t="n">
        <x:f>Revenue!H18-H19</x:f>
        <x:v>1414.5285704080143</x:v>
      </x:c>
      <x:c r="I20" s="22" t="n">
        <x:f>Revenue!I18-I19</x:f>
        <x:v>1508.8964776931452</x:v>
      </x:c>
      <x:c r="J20" s="22" t="n">
        <x:f>Revenue!J18-J19</x:f>
        <x:v>1599.1199737317675</x:v>
      </x:c>
      <x:c r="K20" s="22" t="n">
        <x:f>Revenue!K18-K19</x:f>
        <x:v>1683.5115178166125</x:v>
      </x:c>
      <x:c r="L20" s="22" t="n">
        <x:f>Revenue!L18-L19</x:f>
        <x:v>1760.4117484980852</x:v>
      </x:c>
      <x:c r="M20" s="22" t="n">
        <x:f>Revenue!M18-M19</x:f>
        <x:v>1828.2466184621517</x:v>
      </x:c>
    </x:row>
    <x:row r="21" ht="23" customHeight="1">
      <x:c r="C21" s="1" t="str">
        <x:v>EBIT margin</x:v>
      </x:c>
      <x:c r="D21" s="23" t="n">
        <x:f>D20/Revenue!D18</x:f>
        <x:v>0.23284608267960485</x:v>
      </x:c>
      <x:c r="E21" s="23" t="n">
        <x:f>E20/Revenue!E18</x:f>
        <x:v>0.23623921984899574</x:v>
      </x:c>
      <x:c r="F21" s="23" t="n">
        <x:f>F20/Revenue!F18</x:f>
        <x:v>0.2397357094097579</x:v>
      </x:c>
      <x:c r="G21" s="23" t="n">
        <x:f>G20/Revenue!G18</x:f>
        <x:v>0.24342823298562144</x:v>
      </x:c>
      <x:c r="H21" s="23" t="n">
        <x:f>H20/Revenue!H18</x:f>
        <x:v>0.245452814781616</x:v>
      </x:c>
      <x:c r="I21" s="23" t="n">
        <x:f>I20/Revenue!I18</x:f>
        <x:v>0.2463872122152168</x:v>
      </x:c>
      <x:c r="J21" s="23" t="n">
        <x:f>J20/Revenue!J18</x:f>
        <x:v>0.24700725876304305</x:v>
      </x:c>
      <x:c r="K21" s="23" t="n">
        <x:f>K20/Revenue!K18</x:f>
        <x:v>0.24730915057427566</x:v>
      </x:c>
      <x:c r="L21" s="23" t="n">
        <x:f>L20/Revenue!L18</x:f>
        <x:v>0.2472884131923012</x:v>
      </x:c>
      <x:c r="M21" s="23" t="n">
        <x:f>M20/Revenue!M18</x:f>
        <x:v>0.24693971867519804</x:v>
      </x:c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C23" s="1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 t="str">
        <x:v>Net macro cost shock / revenue</x:v>
      </x:c>
      <x:c r="D25" s="23" t="n">
        <x:f>(Evidence!D26/Evidence!D10*((1+0.35*Assumptions!$D$26+0.45*0.5*Assumptions!$D$25)*(1+0.60*Assumptions!$D$27)-1)+Evidence!D27/Evidence!D10*((1+0.10*Assumptions!$D$26+0.15*0.5*Assumptions!$D$25)*(1+0.20*Assumptions!$D$27)-1)+Evidence!D28/Evidence!D10*Assumptions!$D$25+Evidence!D29/Evidence!D10*Assumptions!$D$28)*(1-Assumptions!$D$29)</x:f>
        <x:v>0.005938804097267877</x:v>
      </x:c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 t="str">
        <x:v>Expense mix follows actual TTM totals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 t="str">
        <x:v>Brand contribution gap is a sensitivity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 t="str">
        <x:v>Mitigation is not a pricing forecast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dcf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/>
      <x:c r="D6" s="10" t="str">
        <x:v>Year 1</x:v>
      </x:c>
      <x:c r="E6" s="10" t="str">
        <x:v>Year 2</x:v>
      </x:c>
      <x:c r="F6" s="10" t="str">
        <x:v>Year 3</x:v>
      </x:c>
      <x:c r="G6" s="10" t="str">
        <x:v>Year 4</x:v>
      </x:c>
      <x:c r="H6" s="10" t="str">
        <x:v>Year 5</x:v>
      </x:c>
      <x:c r="I6" s="10" t="str">
        <x:v>Year 6</x:v>
      </x:c>
      <x:c r="J6" s="10" t="str">
        <x:v>Year 7</x:v>
      </x:c>
      <x:c r="K6" s="10" t="str">
        <x:v>Year 8</x:v>
      </x:c>
      <x:c r="L6" s="10" t="str">
        <x:v>Year 9</x:v>
      </x:c>
      <x:c r="M6" s="10" t="str">
        <x:v>Year 10</x:v>
      </x:c>
    </x:row>
    <x:row r="7" ht="23" customHeight="1">
      <x:c r="C7" s="1" t="str">
        <x:v>Revenue</x:v>
      </x:c>
      <x:c r="D7" s="22" t="n">
        <x:f>Revenue!D18</x:f>
        <x:v>4404.206958327686</x:v>
      </x:c>
      <x:c r="E7" s="22" t="n">
        <x:f>Revenue!E18</x:f>
        <x:v>4652.572924051594</x:v>
      </x:c>
      <x:c r="F7" s="22" t="n">
        <x:f>Revenue!F18</x:f>
        <x:v>4984.156359770983</x:v>
      </x:c>
      <x:c r="G7" s="22" t="n">
        <x:f>Revenue!G18</x:f>
        <x:v>5358.430829377977</x:v>
      </x:c>
      <x:c r="H7" s="22" t="n">
        <x:f>Revenue!H18</x:f>
        <x:v>5762.934809554117</x:v>
      </x:c>
      <x:c r="I7" s="22" t="n">
        <x:f>Revenue!I18</x:f>
        <x:v>6124.086003193782</x:v>
      </x:c>
      <x:c r="J7" s="22" t="n">
        <x:f>Revenue!J18</x:f>
        <x:v>6473.979678734146</x:v>
      </x:c>
      <x:c r="K7" s="22" t="n">
        <x:f>Revenue!K18</x:f>
        <x:v>6807.315919800528</x:v>
      </x:c>
      <x:c r="L7" s="22" t="n">
        <x:f>Revenue!L18</x:f>
        <x:v>7118.860628254021</x:v>
      </x:c>
      <x:c r="M7" s="22" t="n">
        <x:f>Revenue!M18</x:f>
        <x:v>7403.615053384184</x:v>
      </x:c>
    </x:row>
    <x:row r="8" ht="23" customHeight="1">
      <x:c r="C8" s="1" t="str">
        <x:v>EBIT</x:v>
      </x:c>
      <x:c r="D8" s="22" t="n">
        <x:f>Expenses!D20</x:f>
        <x:v>1025.5023375568594</x:v>
      </x:c>
      <x:c r="E8" s="22" t="n">
        <x:f>Expenses!E20</x:f>
        <x:v>1099.1201978685094</x:v>
      </x:c>
      <x:c r="F8" s="22" t="n">
        <x:f>Expenses!F20</x:f>
        <x:v>1194.8802607188532</x:v>
      </x:c>
      <x:c r="G8" s="22" t="n">
        <x:f>Expenses!G20</x:f>
        <x:v>1304.393348371159</x:v>
      </x:c>
      <x:c r="H8" s="22" t="n">
        <x:f>Expenses!H20</x:f>
        <x:v>1414.5285704080143</x:v>
      </x:c>
      <x:c r="I8" s="22" t="n">
        <x:f>Expenses!I20</x:f>
        <x:v>1508.8964776931452</x:v>
      </x:c>
      <x:c r="J8" s="22" t="n">
        <x:f>Expenses!J20</x:f>
        <x:v>1599.1199737317675</x:v>
      </x:c>
      <x:c r="K8" s="22" t="n">
        <x:f>Expenses!K20</x:f>
        <x:v>1683.5115178166125</x:v>
      </x:c>
      <x:c r="L8" s="22" t="n">
        <x:f>Expenses!L20</x:f>
        <x:v>1760.4117484980852</x:v>
      </x:c>
      <x:c r="M8" s="22" t="n">
        <x:f>Expenses!M20</x:f>
        <x:v>1828.2466184621517</x:v>
      </x:c>
    </x:row>
    <x:row r="9" ht="23" customHeight="1">
      <x:c r="C9" s="1" t="str">
        <x:v>Operating tax</x:v>
      </x:c>
      <x:c r="D9" s="22" t="n">
        <x:f>D8*Assumptions!$D$44</x:f>
        <x:v>266.63060776478346</x:v>
      </x:c>
      <x:c r="E9" s="22" t="n">
        <x:f>E8*Assumptions!$D$44</x:f>
        <x:v>285.7712514458125</x:v>
      </x:c>
      <x:c r="F9" s="22" t="n">
        <x:f>F8*Assumptions!$D$44</x:f>
        <x:v>310.66886778690184</x:v>
      </x:c>
      <x:c r="G9" s="22" t="n">
        <x:f>G8*Assumptions!$D$44</x:f>
        <x:v>339.14227057650135</x:v>
      </x:c>
      <x:c r="H9" s="22" t="n">
        <x:f>H8*Assumptions!$D$44</x:f>
        <x:v>367.7774283060837</x:v>
      </x:c>
      <x:c r="I9" s="22" t="n">
        <x:f>I8*Assumptions!$D$44</x:f>
        <x:v>392.31308420021776</x:v>
      </x:c>
      <x:c r="J9" s="22" t="n">
        <x:f>J8*Assumptions!$D$44</x:f>
        <x:v>415.77119317025955</x:v>
      </x:c>
      <x:c r="K9" s="22" t="n">
        <x:f>K8*Assumptions!$D$44</x:f>
        <x:v>437.71299463231924</x:v>
      </x:c>
      <x:c r="L9" s="22" t="n">
        <x:f>L8*Assumptions!$D$44</x:f>
        <x:v>457.70705460950217</x:v>
      </x:c>
      <x:c r="M9" s="22" t="n">
        <x:f>M8*Assumptions!$D$44</x:f>
        <x:v>475.34412080015943</x:v>
      </x:c>
    </x:row>
    <x:row r="10" ht="23" customHeight="1">
      <x:c r="C10" s="1" t="str">
        <x:v>NOPAT</x:v>
      </x:c>
      <x:c r="D10" s="13" t="n">
        <x:f>D8-D9</x:f>
        <x:v>758.8717297920759</x:v>
      </x:c>
      <x:c r="E10" s="13" t="n">
        <x:f>E8-E9</x:f>
        <x:v>813.3489464226969</x:v>
      </x:c>
      <x:c r="F10" s="13" t="n">
        <x:f>F8-F9</x:f>
        <x:v>884.2113929319513</x:v>
      </x:c>
      <x:c r="G10" s="13" t="n">
        <x:f>G8-G9</x:f>
        <x:v>965.2510777946576</x:v>
      </x:c>
      <x:c r="H10" s="13" t="n">
        <x:f>H8-H9</x:f>
        <x:v>1046.7511421019306</x:v>
      </x:c>
      <x:c r="I10" s="13" t="n">
        <x:f>I8-I9</x:f>
        <x:v>1116.5833934929274</x:v>
      </x:c>
      <x:c r="J10" s="13" t="n">
        <x:f>J8-J9</x:f>
        <x:v>1183.348780561508</x:v>
      </x:c>
      <x:c r="K10" s="13" t="n">
        <x:f>K8-K9</x:f>
        <x:v>1245.7985231842931</x:v>
      </x:c>
      <x:c r="L10" s="13" t="n">
        <x:f>L8-L9</x:f>
        <x:v>1302.704693888583</x:v>
      </x:c>
      <x:c r="M10" s="13" t="n">
        <x:f>M8-M9</x:f>
        <x:v>1352.9024976619921</x:v>
      </x:c>
    </x:row>
    <x:row r="11" ht="23" customHeight="1">
      <x:c r="C11" s="1" t="str">
        <x:v>Depreciation</x:v>
      </x:c>
      <x:c r="D11" s="22" t="n">
        <x:f>Expenses!D16</x:f>
        <x:v>39.353939462965506</x:v>
      </x:c>
      <x:c r="E11" s="22" t="n">
        <x:f>Expenses!E16</x:f>
        <x:v>41.573221906375245</x:v>
      </x:c>
      <x:c r="F11" s="22" t="n">
        <x:f>Expenses!F16</x:f>
        <x:v>44.53609685291904</x:v>
      </x:c>
      <x:c r="G11" s="22" t="n">
        <x:f>Expenses!G16</x:f>
        <x:v>47.88043896917598</x:v>
      </x:c>
      <x:c r="H11" s="22" t="n">
        <x:f>Expenses!H16</x:f>
        <x:v>51.49489789424542</x:v>
      </x:c>
      <x:c r="I11" s="22" t="n">
        <x:f>Expenses!I16</x:f>
        <x:v>54.72197653654196</x:v>
      </x:c>
      <x:c r="J11" s="22" t="n">
        <x:f>Expenses!J16</x:f>
        <x:v>57.84846324708438</x:v>
      </x:c>
      <x:c r="K11" s="22" t="n">
        <x:f>Expenses!K16</x:f>
        <x:v>60.827000444782264</x:v>
      </x:c>
      <x:c r="L11" s="22" t="n">
        <x:f>Expenses!L16</x:f>
        <x:v>63.61081866960553</x:v>
      </x:c>
      <x:c r="M11" s="22" t="n">
        <x:f>Expenses!M16</x:f>
        <x:v>66.15525141638976</x:v>
      </x:c>
    </x:row>
    <x:row r="12" ht="23" customHeight="1">
      <x:c r="C12" s="1" t="str">
        <x:v>Cash capex / revenue</x:v>
      </x:c>
      <x:c r="D12" s="23" t="n">
        <x:f>Assumptions!$D$45+($D$23-Assumptions!$D$45)*0</x:f>
        <x:v>0.015</x:v>
      </x:c>
      <x:c r="E12" s="23" t="n">
        <x:f>Assumptions!$D$45+($D$23-Assumptions!$D$45)*0</x:f>
        <x:v>0.015</x:v>
      </x:c>
      <x:c r="F12" s="23" t="n">
        <x:f>Assumptions!$D$45+($D$23-Assumptions!$D$45)*0</x:f>
        <x:v>0.015</x:v>
      </x:c>
      <x:c r="G12" s="23" t="n">
        <x:f>Assumptions!$D$45+($D$23-Assumptions!$D$45)*0</x:f>
        <x:v>0.015</x:v>
      </x:c>
      <x:c r="H12" s="23" t="n">
        <x:f>Assumptions!$D$45+($D$23-Assumptions!$D$45)*0</x:f>
        <x:v>0.015</x:v>
      </x:c>
      <x:c r="I12" s="23" t="n">
        <x:f>Assumptions!$D$45+($D$23-Assumptions!$D$45)*0.2</x:f>
        <x:v>0.01724933453690672</x:v>
      </x:c>
      <x:c r="J12" s="23" t="n">
        <x:f>Assumptions!$D$45+($D$23-Assumptions!$D$45)*0.4</x:f>
        <x:v>0.019498669073813438</x:v>
      </x:c>
      <x:c r="K12" s="23" t="n">
        <x:f>Assumptions!$D$45+($D$23-Assumptions!$D$45)*0.6</x:f>
        <x:v>0.021748003610720157</x:v>
      </x:c>
      <x:c r="L12" s="23" t="n">
        <x:f>Assumptions!$D$45+($D$23-Assumptions!$D$45)*0.8</x:f>
        <x:v>0.023997338147626876</x:v>
      </x:c>
      <x:c r="M12" s="23" t="n">
        <x:f>Assumptions!$D$45+($D$23-Assumptions!$D$45)*1</x:f>
        <x:v>0.026246672684533595</x:v>
      </x:c>
    </x:row>
    <x:row r="13" ht="23" customHeight="1">
      <x:c r="C13" s="1" t="str">
        <x:v>Cash capex</x:v>
      </x:c>
      <x:c r="D13" s="13" t="n">
        <x:f>D7*D12</x:f>
        <x:v>66.06310437491528</x:v>
      </x:c>
      <x:c r="E13" s="13" t="n">
        <x:f>E7*E12</x:f>
        <x:v>69.7885938607739</x:v>
      </x:c>
      <x:c r="F13" s="13" t="n">
        <x:f>F7*F12</x:f>
        <x:v>74.76234539656474</x:v>
      </x:c>
      <x:c r="G13" s="13" t="n">
        <x:f>G7*G12</x:f>
        <x:v>80.37646244066966</x:v>
      </x:c>
      <x:c r="H13" s="13" t="n">
        <x:f>H7*H12</x:f>
        <x:v>86.44402214331176</x:v>
      </x:c>
      <x:c r="I13" s="13" t="n">
        <x:f>I7*I12</x:f>
        <x:v>105.63640820187753</x:v>
      </x:c>
      <x:c r="J13" s="13" t="n">
        <x:f>J7*J12</x:f>
        <x:v>126.23398734623014</x:v>
      </x:c>
      <x:c r="K13" s="13" t="n">
        <x:f>K7*K12</x:f>
        <x:v>148.0455312031347</x:v>
      </x:c>
      <x:c r="L13" s="13" t="n">
        <x:f>L7*L12</x:f>
        <x:v>170.83370572203924</x:v>
      </x:c>
      <x:c r="M13" s="13" t="n">
        <x:f>M7*M12</x:f>
        <x:v>194.32026098846038</x:v>
      </x:c>
    </x:row>
    <x:row r="14" ht="23" customHeight="1">
      <x:c r="C14" s="1" t="str">
        <x:v>Operating NWC / revenue</x:v>
      </x:c>
      <x:c r="D14" s="23" t="n">
        <x:f>Assumptions!$D$48/Evidence!$D$7+(Assumptions!$D$47-Assumptions!$D$48/Evidence!$D$7)*0.2</x:f>
        <x:v>-0.08669232128343757</x:v>
      </x:c>
      <x:c r="E14" s="23" t="n">
        <x:f>Assumptions!$D$48/Evidence!$D$7+(Assumptions!$D$47-Assumptions!$D$48/Evidence!$D$7)*0.4</x:f>
        <x:v>-0.08251924096257818</x:v>
      </x:c>
      <x:c r="F14" s="23" t="n">
        <x:f>Assumptions!$D$48/Evidence!$D$7+(Assumptions!$D$47-Assumptions!$D$48/Evidence!$D$7)*0.6</x:f>
        <x:v>-0.07834616064171879</x:v>
      </x:c>
      <x:c r="G14" s="23" t="n">
        <x:f>Assumptions!$D$48/Evidence!$D$7+(Assumptions!$D$47-Assumptions!$D$48/Evidence!$D$7)*0.8</x:f>
        <x:v>-0.0741730803208594</x:v>
      </x:c>
      <x:c r="H14" s="23" t="n">
        <x:f>Assumptions!$D$48/Evidence!$D$7+(Assumptions!$D$47-Assumptions!$D$48/Evidence!$D$7)*1</x:f>
        <x:v>-0.07</x:v>
      </x:c>
      <x:c r="I14" s="23" t="n">
        <x:f>Assumptions!$D$48/Evidence!$D$7+(Assumptions!$D$47-Assumptions!$D$48/Evidence!$D$7)*1</x:f>
        <x:v>-0.07</x:v>
      </x:c>
      <x:c r="J14" s="23" t="n">
        <x:f>Assumptions!$D$48/Evidence!$D$7+(Assumptions!$D$47-Assumptions!$D$48/Evidence!$D$7)*1</x:f>
        <x:v>-0.07</x:v>
      </x:c>
      <x:c r="K14" s="23" t="n">
        <x:f>Assumptions!$D$48/Evidence!$D$7+(Assumptions!$D$47-Assumptions!$D$48/Evidence!$D$7)*1</x:f>
        <x:v>-0.07</x:v>
      </x:c>
      <x:c r="L14" s="23" t="n">
        <x:f>Assumptions!$D$48/Evidence!$D$7+(Assumptions!$D$47-Assumptions!$D$48/Evidence!$D$7)*1</x:f>
        <x:v>-0.07</x:v>
      </x:c>
      <x:c r="M14" s="23" t="n">
        <x:f>Assumptions!$D$48/Evidence!$D$7+(Assumptions!$D$47-Assumptions!$D$48/Evidence!$D$7)*1</x:f>
        <x:v>-0.07</x:v>
      </x:c>
    </x:row>
    <x:row r="15" ht="23" customHeight="1">
      <x:c r="C15" s="1" t="str">
        <x:v>Operating NWC</x:v>
      </x:c>
      <x:c r="D15" s="13" t="n">
        <x:f>D7*D14</x:f>
        <x:v>-381.8109246300951</x:v>
      </x:c>
      <x:c r="E15" s="13" t="n">
        <x:f>E7*E14</x:f>
        <x:v>-383.9267862157804</x:v>
      </x:c>
      <x:c r="F15" s="13" t="n">
        <x:f>F7*F14</x:f>
        <x:v>-390.48951482606174</x:v>
      </x:c>
      <x:c r="G15" s="13" t="n">
        <x:f>G7*G14</x:f>
        <x:v>-397.4513203012219</x:v>
      </x:c>
      <x:c r="H15" s="13" t="n">
        <x:f>H7*H14</x:f>
        <x:v>-403.40543666878824</x:v>
      </x:c>
      <x:c r="I15" s="13" t="n">
        <x:f>I7*I14</x:f>
        <x:v>-428.68602022356475</x:v>
      </x:c>
      <x:c r="J15" s="13" t="n">
        <x:f>J7*J14</x:f>
        <x:v>-453.17857751139024</x:v>
      </x:c>
      <x:c r="K15" s="13" t="n">
        <x:f>K7*K14</x:f>
        <x:v>-476.512114386037</x:v>
      </x:c>
      <x:c r="L15" s="13" t="n">
        <x:f>L7*L14</x:f>
        <x:v>-498.32024397778156</x:v>
      </x:c>
      <x:c r="M15" s="13" t="n">
        <x:f>M7*M14</x:f>
        <x:v>-518.2530537368929</x:v>
      </x:c>
    </x:row>
    <x:row r="16" ht="23" customHeight="1">
      <x:c r="C16" s="1" t="str">
        <x:v>Change in NWC</x:v>
      </x:c>
      <x:c r="D16" s="22" t="n">
        <x:f>D15-Assumptions!$D$48</x:f>
        <x:v>3.8990753699048923</x:v>
      </x:c>
      <x:c r="E16" s="13" t="n">
        <x:f>E15-D15</x:f>
        <x:v>-2.115861585685309</x:v>
      </x:c>
      <x:c r="F16" s="13" t="n">
        <x:f>F15-E15</x:f>
        <x:v>-6.56272861028134</x:v>
      </x:c>
      <x:c r="G16" s="13" t="n">
        <x:f>G15-F15</x:f>
        <x:v>-6.96180547516019</x:v>
      </x:c>
      <x:c r="H16" s="13" t="n">
        <x:f>H15-G15</x:f>
        <x:v>-5.954116367566314</x:v>
      </x:c>
      <x:c r="I16" s="13" t="n">
        <x:f>I15-H15</x:f>
        <x:v>-25.280583554776513</x:v>
      </x:c>
      <x:c r="J16" s="13" t="n">
        <x:f>J15-I15</x:f>
        <x:v>-24.49255728782549</x:v>
      </x:c>
      <x:c r="K16" s="13" t="n">
        <x:f>K15-J15</x:f>
        <x:v>-23.333536874646768</x:v>
      </x:c>
      <x:c r="L16" s="13" t="n">
        <x:f>L15-K15</x:f>
        <x:v>-21.808129591744546</x:v>
      </x:c>
      <x:c r="M16" s="13" t="n">
        <x:f>M15-L15</x:f>
        <x:v>-19.932809759111308</x:v>
      </x:c>
    </x:row>
    <x:row r="17" ht="23" customHeight="1">
      <x:c r="C17" s="1" t="str">
        <x:v>Free operating cash flow</x:v>
      </x:c>
      <x:c r="D17" s="13" t="n">
        <x:f>D10+D11-D13-D16</x:f>
        <x:v>728.2634895102212</x:v>
      </x:c>
      <x:c r="E17" s="13" t="n">
        <x:f>E10+E11-E13-E16</x:f>
        <x:v>787.2494360539836</x:v>
      </x:c>
      <x:c r="F17" s="13" t="n">
        <x:f>F10+F11-F13-F16</x:f>
        <x:v>860.5478729985869</x:v>
      </x:c>
      <x:c r="G17" s="13" t="n">
        <x:f>G10+G11-G13-G16</x:f>
        <x:v>939.7168597983241</x:v>
      </x:c>
      <x:c r="H17" s="13" t="n">
        <x:f>H10+H11-H13-H16</x:f>
        <x:v>1017.7561342204306</x:v>
      </x:c>
      <x:c r="I17" s="13" t="n">
        <x:f>I10+I11-I13-I16</x:f>
        <x:v>1090.9495453823683</x:v>
      </x:c>
      <x:c r="J17" s="13" t="n">
        <x:f>J10+J11-J13-J16</x:f>
        <x:v>1139.4558137501876</x:v>
      </x:c>
      <x:c r="K17" s="13" t="n">
        <x:f>K10+K11-K13-K16</x:f>
        <x:v>1181.9135293005875</x:v>
      </x:c>
      <x:c r="L17" s="13" t="n">
        <x:f>L10+L11-L13-L16</x:f>
        <x:v>1217.289936427894</x:v>
      </x:c>
      <x:c r="M17" s="13" t="n">
        <x:f>M10+M11-M13-M16</x:f>
        <x:v>1244.6702978490327</x:v>
      </x:c>
    </x:row>
    <x:row r="18" ht="23" customHeight="1">
      <x:c r="C18" s="1" t="str">
        <x:v>Discount factor</x:v>
      </x:c>
      <x:c r="D18" s="22" t="n">
        <x:f>(1+Assumptions!$D$41)^1</x:f>
        <x:v>1.117</x:v>
      </x:c>
      <x:c r="E18" s="22" t="n">
        <x:f>(1+Assumptions!$D$41)^2</x:f>
        <x:v>1.247689</x:v>
      </x:c>
      <x:c r="F18" s="22" t="n">
        <x:f>(1+Assumptions!$D$41)^3</x:f>
        <x:v>1.393668613</x:v>
      </x:c>
      <x:c r="G18" s="22" t="n">
        <x:f>(1+Assumptions!$D$41)^4</x:f>
        <x:v>1.556727840721</x:v>
      </x:c>
      <x:c r="H18" s="22" t="n">
        <x:f>(1+Assumptions!$D$41)^5</x:f>
        <x:v>1.738864998085357</x:v>
      </x:c>
      <x:c r="I18" s="22" t="n">
        <x:f>(1+Assumptions!$D$41)^6</x:f>
        <x:v>1.9423122028613438</x:v>
      </x:c>
      <x:c r="J18" s="22" t="n">
        <x:f>(1+Assumptions!$D$41)^7</x:f>
        <x:v>2.169562730596121</x:v>
      </x:c>
      <x:c r="K18" s="22" t="n">
        <x:f>(1+Assumptions!$D$41)^8</x:f>
        <x:v>2.423401570075867</x:v>
      </x:c>
      <x:c r="L18" s="22" t="n">
        <x:f>(1+Assumptions!$D$41)^9</x:f>
        <x:v>2.7069395537747436</x:v>
      </x:c>
      <x:c r="M18" s="22" t="n">
        <x:f>(1+Assumptions!$D$41)^10</x:f>
        <x:v>3.0236514815663886</x:v>
      </x:c>
    </x:row>
    <x:row r="19" ht="23" customHeight="1">
      <x:c r="C19" s="1" t="str">
        <x:v>Present value</x:v>
      </x:c>
      <x:c r="D19" s="13" t="n">
        <x:f>D17/D18</x:f>
        <x:v>651.9816378784434</x:v>
      </x:c>
      <x:c r="E19" s="13" t="n">
        <x:f>E17/E18</x:f>
        <x:v>630.9660789299124</x:v>
      </x:c>
      <x:c r="F19" s="13" t="n">
        <x:f>F17/F18</x:f>
        <x:v>617.4695081538633</x:v>
      </x:c>
      <x:c r="G19" s="13" t="n">
        <x:f>G17/G18</x:f>
        <x:v>603.6487786863845</x:v>
      </x:c>
      <x:c r="H19" s="13" t="n">
        <x:f>H17/H18</x:f>
        <x:v>585.2991090976409</x:v>
      </x:c>
      <x:c r="I19" s="13" t="n">
        <x:f>I17/I18</x:f>
        <x:v>561.6756893022765</x:v>
      </x:c>
      <x:c r="J19" s="13" t="n">
        <x:f>J17/J18</x:f>
        <x:v>525.2006764686193</x:v>
      </x:c>
      <x:c r="K19" s="13" t="n">
        <x:f>K17/K18</x:f>
        <x:v>487.7084936705667</x:v>
      </x:c>
      <x:c r="L19" s="13" t="n">
        <x:f>L17/L18</x:f>
        <x:v>449.6923230998715</x:v>
      </x:c>
      <x:c r="M19" s="13" t="n">
        <x:f>M17/M18</x:f>
        <x:v>411.6447631074984</x:v>
      </x:c>
    </x:row>
    <x:row r="20" ht="23" customHeight="1"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C23" s="1" t="str">
        <x:v>Terminal cash capex / revenue</x:v>
      </x:c>
      <x:c r="D23" s="23" t="n">
        <x:f>Assumptions!$D$46+Expenses!M21*(1-Assumptions!$D$44)*Assumptions!$D$42/Assumptions!$D$43-Assumptions!$D$47*Assumptions!$D$42/(1+Assumptions!$D$42)</x:f>
        <x:v>0.026246672684533595</x:v>
      </x:c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 t="str">
        <x:v>PV explicit cash flows</x:v>
      </x:c>
      <x:c r="D26" s="13" t="n">
        <x:f>SUM(D19:M19)</x:f>
        <x:v>5525.287058395077</x:v>
      </x:c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 t="str">
        <x:v>Terminal NOPAT</x:v>
      </x:c>
      <x:c r="D27" s="22" t="n">
        <x:f>M7*(1+Assumptions!$D$42)*Expenses!M21*(1-Assumptions!$D$44)</x:f>
        <x:v>1407.018597568472</x:v>
      </x:c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 t="str">
        <x:v>Terminal reinvestment</x:v>
      </x:c>
      <x:c r="D28" s="22" t="n">
        <x:f>D27*Assumptions!$D$42/Assumptions!$D$43</x:f>
        <x:v>112.56148780547775</x:v>
      </x:c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 t="str">
        <x:v>Terminal cash flow</x:v>
      </x:c>
      <x:c r="D29" s="13" t="n">
        <x:f>D27-D28</x:f>
        <x:v>1294.4571097629942</x:v>
      </x:c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 t="str">
        <x:v>PV terminal value</x:v>
      </x:c>
      <x:c r="D30" s="22" t="n">
        <x:f>IF(Assumptions!$D$41&gt;Assumptions!$D$42,D29/(Assumptions!$D$41-Assumptions!$D$42)/M18,NA())</x:f>
        <x:v>5559.877319893485</x:v>
      </x:c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 t="str">
        <x:v>Operating enterprise value</x:v>
      </x:c>
      <x:c r="D31" s="13" t="n">
        <x:f>D26+D30</x:f>
        <x:v>11085.164378288562</x:v>
      </x:c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C32" s="1" t="str">
        <x:v>Net equity adjustment</x:v>
      </x:c>
      <x:c r="D32" s="22" t="n">
        <x:f>Assumptions!$D$49-Assumptions!$D$50*Evidence!D8-Assumptions!$D$51-Assumptions!$D$52-Assumptions!$D$53-Assumptions!$D$54-Assumptions!$D$55</x:f>
        <x:v>85.09558399999999</x:v>
      </x:c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C33" s="1" t="str">
        <x:v>Equity value</x:v>
      </x:c>
      <x:c r="D33" s="13" t="n">
        <x:f>D31+D32</x:f>
        <x:v>11170.259962288563</x:v>
      </x:c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C34" s="1" t="str">
        <x:v>Value per share</x:v>
      </x:c>
      <x:c r="D34" s="22" t="n">
        <x:f>IF(AND(COUNT(Assumptions!D7:D55)=49,MIN(Revenue!D10:M10)&gt;0,MAX(Revenue!D10:M10)&lt;=1,MIN(Revenue!D11:M11)&gt;0,MIN(Revenue!D17:M17)&gt;=0),D33/Evidence!D8,NA())</x:f>
        <x:v>3441.1604106230257</x:v>
      </x:c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C35" s="1" t="str">
        <x:v>Terminal share of enterprise value</x:v>
      </x:c>
      <x:c r="D35" s="15" t="n">
        <x:f>D30/D31</x:f>
        <x:v>0.5015602051678257</x:v>
      </x:c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19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history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Quarter end</x:v>
      </x:c>
      <x:c r="D6" s="10" t="str">
        <x:v>Revenue</x:v>
      </x:c>
      <x:c r="E6" s="10" t="str">
        <x:v>PBT</x:v>
      </x:c>
      <x:c r="F6" s="10" t="str">
        <x:v>Other income</x:v>
      </x:c>
      <x:c r="G6" s="10" t="str">
        <x:v>Finance</x:v>
      </x:c>
      <x:c r="H6" s="10" t="str">
        <x:v>D&amp;A</x:v>
      </x:c>
      <x:c r="I6" s="10" t="str">
        <x:v>PAT</x:v>
      </x:c>
      <x:c r="J6" s="10" t="str">
        <x:v>EBIT</x:v>
      </x:c>
      <x:c r="K6" s="10" t="str">
        <x:v>EBIT margin</x:v>
      </x:c>
      <x:c r="L6" s="10" t="str">
        <x:v>PAT margin</x:v>
      </x:c>
      <x:c r="M6" s="1"/>
    </x:row>
    <x:row r="7" ht="23" customHeight="1">
      <x:c r="C7" s="1" t="str">
        <x:v>Jun 23</x:v>
      </x:c>
      <x:c r="D7" s="2" t="n">
        <x:v>852.53</x:v>
      </x:c>
      <x:c r="E7" s="2" t="n">
        <x:v>206.58</x:v>
      </x:c>
      <x:c r="F7" s="2" t="n">
        <x:v>10.1</x:v>
      </x:c>
      <x:c r="G7" s="2" t="n">
        <x:v>3</x:v>
      </x:c>
      <x:c r="H7" s="2" t="n">
        <x:v>15.41</x:v>
      </x:c>
      <x:c r="I7" s="2" t="n">
        <x:v>151.24</x:v>
      </x:c>
      <x:c r="J7" s="13" t="n">
        <x:f>E7-F7+G7</x:f>
        <x:v>199.48000000000002</x:v>
      </x:c>
      <x:c r="K7" s="15" t="n">
        <x:f>J7/D7</x:f>
        <x:v>0.23398590078941506</x:v>
      </x:c>
      <x:c r="L7" s="15" t="n">
        <x:f>I7/D7</x:f>
        <x:v>0.17740138176955653</x:v>
      </x:c>
      <x:c r="M7" s="2"/>
    </x:row>
    <x:row r="8" ht="23" customHeight="1">
      <x:c r="C8" s="1" t="str">
        <x:v>Sept 23</x:v>
      </x:c>
      <x:c r="D8" s="2" t="n">
        <x:v>1138.35</x:v>
      </x:c>
      <x:c r="E8" s="2" t="n">
        <x:v>284.47</x:v>
      </x:c>
      <x:c r="F8" s="2" t="n">
        <x:v>15.77</x:v>
      </x:c>
      <x:c r="G8" s="2" t="n">
        <x:v>1.89</x:v>
      </x:c>
      <x:c r="H8" s="2" t="n">
        <x:v>14.3</x:v>
      </x:c>
      <x:c r="I8" s="2" t="n">
        <x:v>210.69</x:v>
      </x:c>
      <x:c r="J8" s="13" t="n">
        <x:f>E8-F8+G8</x:f>
        <x:v>270.59000000000003</x:v>
      </x:c>
      <x:c r="K8" s="15" t="n">
        <x:f>J8/D8</x:f>
        <x:v>0.2377036939429877</x:v>
      </x:c>
      <x:c r="L8" s="15" t="n">
        <x:f>I8/D8</x:f>
        <x:v>0.18508367373830545</x:v>
      </x:c>
      <x:c r="M8" s="2"/>
    </x:row>
    <x:row r="9" ht="23" customHeight="1">
      <x:c r="C9" s="1" t="str">
        <x:v>Dec 23</x:v>
      </x:c>
      <x:c r="D9" s="2" t="n">
        <x:v>1133.43</x:v>
      </x:c>
      <x:c r="E9" s="2" t="n">
        <x:v>308.51</x:v>
      </x:c>
      <x:c r="F9" s="2" t="n">
        <x:v>15.58</x:v>
      </x:c>
      <x:c r="G9" s="2" t="n">
        <x:v>2.55</x:v>
      </x:c>
      <x:c r="H9" s="2" t="n">
        <x:v>14.26</x:v>
      </x:c>
      <x:c r="I9" s="2" t="n">
        <x:v>228.9</x:v>
      </x:c>
      <x:c r="J9" s="13" t="n">
        <x:f>E9-F9+G9</x:f>
        <x:v>295.48</x:v>
      </x:c>
      <x:c r="K9" s="15" t="n">
        <x:f>J9/D9</x:f>
        <x:v>0.2606954112737443</x:v>
      </x:c>
      <x:c r="L9" s="15" t="n">
        <x:f>I9/D9</x:f>
        <x:v>0.2019533628014081</x:v>
      </x:c>
      <x:c r="M9" s="2"/>
    </x:row>
    <x:row r="10" ht="23" customHeight="1">
      <x:c r="C10" s="1" t="str">
        <x:v>Mar 24</x:v>
      </x:c>
      <x:c r="D10" s="2" t="n">
        <x:v>1002.17</x:v>
      </x:c>
      <x:c r="E10" s="2" t="n">
        <x:v>233.94</x:v>
      </x:c>
      <x:c r="F10" s="2" t="n">
        <x:v>13.59</x:v>
      </x:c>
      <x:c r="G10" s="2" t="n">
        <x:v>22.42</x:v>
      </x:c>
      <x:c r="H10" s="2" t="n">
        <x:v>14.54</x:v>
      </x:c>
      <x:c r="I10" s="2" t="n">
        <x:v>154.37</x:v>
      </x:c>
      <x:c r="J10" s="13" t="n">
        <x:f>E10-F10+G10</x:f>
        <x:v>242.76999999999998</x:v>
      </x:c>
      <x:c r="K10" s="15" t="n">
        <x:f>J10/D10</x:f>
        <x:v>0.24224432980432462</x:v>
      </x:c>
      <x:c r="L10" s="15" t="n">
        <x:f>I10/D10</x:f>
        <x:v>0.15403574243890758</x:v>
      </x:c>
      <x:c r="M10" s="2"/>
    </x:row>
    <x:row r="11" ht="23" customHeight="1">
      <x:c r="C11" s="1" t="str">
        <x:v>Jun 24</x:v>
      </x:c>
      <x:c r="D11" s="2" t="n">
        <x:v>931.75</x:v>
      </x:c>
      <x:c r="E11" s="2" t="n">
        <x:v>112.28</x:v>
      </x:c>
      <x:c r="F11" s="2" t="n">
        <x:v>7.31</x:v>
      </x:c>
      <x:c r="G11" s="2" t="n">
        <x:v>-0.08</x:v>
      </x:c>
      <x:c r="H11" s="2" t="n">
        <x:v>13.4</x:v>
      </x:c>
      <x:c r="I11" s="2" t="n">
        <x:v>81.06</x:v>
      </x:c>
      <x:c r="J11" s="13" t="n">
        <x:f>E11-F11+G11</x:f>
        <x:v>104.89</x:v>
      </x:c>
      <x:c r="K11" s="15" t="n">
        <x:f>J11/D11</x:f>
        <x:v>0.11257311510598336</x:v>
      </x:c>
      <x:c r="L11" s="15" t="n">
        <x:f>I11/D11</x:f>
        <x:v>0.08699758518916019</x:v>
      </x:c>
      <x:c r="M11" s="2"/>
    </x:row>
    <x:row r="12" ht="23" customHeight="1">
      <x:c r="C12" s="1" t="str">
        <x:v>Sept 24</x:v>
      </x:c>
      <x:c r="D12" s="2" t="n">
        <x:v>1135.16</x:v>
      </x:c>
      <x:c r="E12" s="2" t="n">
        <x:v>285.37</x:v>
      </x:c>
      <x:c r="F12" s="2" t="n">
        <x:v>8.5</x:v>
      </x:c>
      <x:c r="G12" s="2" t="n">
        <x:v>1.91</x:v>
      </x:c>
      <x:c r="H12" s="2" t="n">
        <x:v>11.7</x:v>
      </x:c>
      <x:c r="I12" s="2" t="n">
        <x:v>211.9</x:v>
      </x:c>
      <x:c r="J12" s="13" t="n">
        <x:f>E12-F12+G12</x:f>
        <x:v>278.78000000000003</x:v>
      </x:c>
      <x:c r="K12" s="15" t="n">
        <x:f>J12/D12</x:f>
        <x:v>0.2455865252475422</x:v>
      </x:c>
      <x:c r="L12" s="15" t="n">
        <x:f>I12/D12</x:f>
        <x:v>0.18666972056802564</x:v>
      </x:c>
      <x:c r="M12" s="2"/>
    </x:row>
    <x:row r="13" ht="23" customHeight="1">
      <x:c r="C13" s="1" t="str">
        <x:v>Dec 24</x:v>
      </x:c>
      <x:c r="D13" s="2" t="n">
        <x:v>1247.63</x:v>
      </x:c>
      <x:c r="E13" s="2" t="n">
        <x:v>364.13</x:v>
      </x:c>
      <x:c r="F13" s="2" t="n">
        <x:v>9.71</x:v>
      </x:c>
      <x:c r="G13" s="2" t="n">
        <x:v>6.62</x:v>
      </x:c>
      <x:c r="H13" s="2" t="n">
        <x:v>9.89</x:v>
      </x:c>
      <x:c r="I13" s="2" t="n">
        <x:v>268.59</x:v>
      </x:c>
      <x:c r="J13" s="13" t="n">
        <x:f>E13-F13+G13</x:f>
        <x:v>361.04</x:v>
      </x:c>
      <x:c r="K13" s="15" t="n">
        <x:f>J13/D13</x:f>
        <x:v>0.2893806657422473</x:v>
      </x:c>
      <x:c r="L13" s="15" t="n">
        <x:f>I13/D13</x:f>
        <x:v>0.21528017120460388</x:v>
      </x:c>
      <x:c r="M13" s="2"/>
    </x:row>
    <x:row r="14" ht="23" customHeight="1">
      <x:c r="C14" s="1" t="str">
        <x:v>Mar 25</x:v>
      </x:c>
      <x:c r="D14" s="2" t="n">
        <x:v>991.63</x:v>
      </x:c>
      <x:c r="E14" s="2" t="n">
        <x:v>212.66</x:v>
      </x:c>
      <x:c r="F14" s="2" t="n">
        <x:v>19.13</x:v>
      </x:c>
      <x:c r="G14" s="2" t="n">
        <x:v>5.77</x:v>
      </x:c>
      <x:c r="H14" s="2" t="n">
        <x:v>10.35</x:v>
      </x:c>
      <x:c r="I14" s="2" t="n">
        <x:v>156.1</x:v>
      </x:c>
      <x:c r="J14" s="13" t="n">
        <x:f>E14-F14+G14</x:f>
        <x:v>199.3</x:v>
      </x:c>
      <x:c r="K14" s="15" t="n">
        <x:f>J14/D14</x:f>
        <x:v>0.2009822211913718</x:v>
      </x:c>
      <x:c r="L14" s="15" t="n">
        <x:f>I14/D14</x:f>
        <x:v>0.15741758518802376</x:v>
      </x:c>
      <x:c r="M14" s="2"/>
    </x:row>
    <x:row r="15" ht="23" customHeight="1">
      <x:c r="C15" s="1" t="str">
        <x:v>Jun 25</x:v>
      </x:c>
      <x:c r="D15" s="2" t="n">
        <x:v>937.03</x:v>
      </x:c>
      <x:c r="E15" s="2" t="n">
        <x:v>264.7</x:v>
      </x:c>
      <x:c r="F15" s="2" t="n">
        <x:v>7.69</x:v>
      </x:c>
      <x:c r="G15" s="2" t="n">
        <x:v>0.07</x:v>
      </x:c>
      <x:c r="H15" s="2" t="n">
        <x:v>9.09</x:v>
      </x:c>
      <x:c r="I15" s="2" t="n">
        <x:v>192.06</x:v>
      </x:c>
      <x:c r="J15" s="13" t="n">
        <x:f>E15-F15+G15</x:f>
        <x:v>257.08</x:v>
      </x:c>
      <x:c r="K15" s="15" t="n">
        <x:f>J15/D15</x:f>
        <x:v>0.27435621058023757</x:v>
      </x:c>
      <x:c r="L15" s="15" t="n">
        <x:f>I15/D15</x:f>
        <x:v>0.20496675666734257</x:v>
      </x:c>
      <x:c r="M15" s="2"/>
    </x:row>
    <x:row r="16" ht="23" customHeight="1">
      <x:c r="C16" s="1" t="str">
        <x:v>Sept 25</x:v>
      </x:c>
      <x:c r="D16" s="2" t="n">
        <x:v>1150.17</x:v>
      </x:c>
      <x:c r="E16" s="2" t="n">
        <x:v>281.78</x:v>
      </x:c>
      <x:c r="F16" s="2" t="n">
        <x:v>9.9</x:v>
      </x:c>
      <x:c r="G16" s="2" t="n">
        <x:v>3.6</x:v>
      </x:c>
      <x:c r="H16" s="2" t="n">
        <x:v>9.28</x:v>
      </x:c>
      <x:c r="I16" s="2" t="n">
        <x:v>209.86</x:v>
      </x:c>
      <x:c r="J16" s="13" t="n">
        <x:f>E16-F16+G16</x:f>
        <x:v>275.48</x:v>
      </x:c>
      <x:c r="K16" s="15" t="n">
        <x:f>J16/D16</x:f>
        <x:v>0.23951241990314476</x:v>
      </x:c>
      <x:c r="L16" s="15" t="n">
        <x:f>I16/D16</x:f>
        <x:v>0.1824599841762522</x:v>
      </x:c>
      <x:c r="M16" s="2"/>
    </x:row>
    <x:row r="17" ht="23" customHeight="1">
      <x:c r="C17" s="1" t="str">
        <x:v>Dec 25</x:v>
      </x:c>
      <x:c r="D17" s="2" t="n">
        <x:v>1261.9</x:v>
      </x:c>
      <x:c r="E17" s="2" t="n">
        <x:v>402.04</x:v>
      </x:c>
      <x:c r="F17" s="2" t="n">
        <x:v>12.41</x:v>
      </x:c>
      <x:c r="G17" s="2" t="n">
        <x:v>2.67</x:v>
      </x:c>
      <x:c r="H17" s="2" t="n">
        <x:v>9.5</x:v>
      </x:c>
      <x:c r="I17" s="2" t="n">
        <x:v>301.46</x:v>
      </x:c>
      <x:c r="J17" s="13" t="n">
        <x:f>E17-F17+G17</x:f>
        <x:v>392.3</x:v>
      </x:c>
      <x:c r="K17" s="15" t="n">
        <x:f>J17/D17</x:f>
        <x:v>0.31088041841667324</x:v>
      </x:c>
      <x:c r="L17" s="15" t="n">
        <x:f>I17/D17</x:f>
        <x:v>0.23889373167445913</x:v>
      </x:c>
      <x:c r="M17" s="2"/>
    </x:row>
    <x:row r="18" ht="23" customHeight="1">
      <x:c r="C18" s="1" t="str">
        <x:v>Mar 26</x:v>
      </x:c>
      <x:c r="D18" s="2" t="n">
        <x:v>941.32</x:v>
      </x:c>
      <x:c r="E18" s="2" t="n">
        <x:v>218.11</x:v>
      </x:c>
      <x:c r="F18" s="2" t="n">
        <x:v>12.47</x:v>
      </x:c>
      <x:c r="G18" s="2" t="n">
        <x:v>3.11</x:v>
      </x:c>
      <x:c r="H18" s="2" t="n">
        <x:v>9.56</x:v>
      </x:c>
      <x:c r="I18" s="2" t="n">
        <x:v>153.13</x:v>
      </x:c>
      <x:c r="J18" s="13" t="n">
        <x:f>E18-F18+G18</x:f>
        <x:v>208.75000000000003</x:v>
      </x:c>
      <x:c r="K18" s="15" t="n">
        <x:f>J18/D18</x:f>
        <x:v>0.2217630561339396</x:v>
      </x:c>
      <x:c r="L18" s="15" t="n">
        <x:f>I18/D18</x:f>
        <x:v>0.16267581693791697</x:v>
      </x:c>
      <x:c r="M18" s="2"/>
    </x:row>
    <x:row r="19" ht="23" customHeight="1">
      <x:c r="C19" s="1" t="str">
        <x:v>Jun 26</x:v>
      </x:c>
      <x:c r="D19" s="2" t="n">
        <x:v>891.46</x:v>
      </x:c>
      <x:c r="E19" s="2" t="n">
        <x:v>169.63</x:v>
      </x:c>
      <x:c r="F19" s="2" t="n">
        <x:v>9.43</x:v>
      </x:c>
      <x:c r="G19" s="2" t="n">
        <x:v>0.27</x:v>
      </x:c>
      <x:c r="H19" s="2" t="n">
        <x:v>9.59</x:v>
      </x:c>
      <x:c r="I19" s="2" t="n">
        <x:v>126.27</x:v>
      </x:c>
      <x:c r="J19" s="13" t="n">
        <x:f>E19-F19+G19</x:f>
        <x:v>160.47</x:v>
      </x:c>
      <x:c r="K19" s="15" t="n">
        <x:f>J19/D19</x:f>
        <x:v>0.18000807663832363</x:v>
      </x:c>
      <x:c r="L19" s="15" t="n">
        <x:f>I19/D19</x:f>
        <x:v>0.14164404460099161</x:v>
      </x:c>
      <x:c r="M19" s="2"/>
    </x:row>
    <x:row r="20" ht="23" customHeight="1"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7" customHeight="1">
      <x:c r="C23" s="10" t="str">
        <x:v>Fiscal year end</x:v>
      </x:c>
      <x:c r="D23" s="27" t="str">
        <x:v>Months</x:v>
      </x:c>
      <x:c r="E23" s="27" t="str">
        <x:v>Revenue</x:v>
      </x:c>
      <x:c r="F23" s="27" t="str">
        <x:v>PBT</x:v>
      </x:c>
      <x:c r="G23" s="27" t="str">
        <x:v>Other income</x:v>
      </x:c>
      <x:c r="H23" s="27" t="str">
        <x:v>Finance</x:v>
      </x:c>
      <x:c r="I23" s="27" t="str">
        <x:v>PAT</x:v>
      </x:c>
      <x:c r="J23" s="27" t="str">
        <x:v>EBIT</x:v>
      </x:c>
      <x:c r="K23" s="27" t="str">
        <x:v>EBIT margin</x:v>
      </x:c>
      <x:c r="L23" s="27" t="str">
        <x:v>EPS</x:v>
      </x:c>
      <x:c r="M23" s="2"/>
    </x:row>
    <x:row r="24" ht="23" customHeight="1">
      <x:c r="C24" s="1" t="str">
        <x:v>Jun 2016</x:v>
      </x:c>
      <x:c r="D24" s="2" t="n">
        <x:v>12</x:v>
      </x:c>
      <x:c r="E24" s="2" t="n">
        <x:v>2275.39</x:v>
      </x:c>
      <x:c r="F24" s="2" t="n">
        <x:v>635.5</x:v>
      </x:c>
      <x:c r="G24" s="2" t="n">
        <x:v>87.61</x:v>
      </x:c>
      <x:c r="H24" s="2" t="n">
        <x:v>6.27</x:v>
      </x:c>
      <x:c r="I24" s="2" t="n">
        <x:v>422.5</x:v>
      </x:c>
      <x:c r="J24" s="13" t="n">
        <x:f>F24-G24+H24</x:f>
        <x:v>554.16</x:v>
      </x:c>
      <x:c r="K24" s="15" t="n">
        <x:f>J24/E24</x:f>
        <x:v>0.2435450626046524</x:v>
      </x:c>
      <x:c r="L24" s="22" t="n">
        <x:f>I24/Evidence!D8</x:f>
        <x:v>130.1572459724881</x:v>
      </x:c>
      <x:c r="M24" s="2"/>
    </x:row>
    <x:row r="25" ht="23" customHeight="1">
      <x:c r="C25" s="1" t="str">
        <x:v>Jun 2017</x:v>
      </x:c>
      <x:c r="D25" s="2" t="n">
        <x:v>12</x:v>
      </x:c>
      <x:c r="E25" s="2" t="n">
        <x:v>2320.3999999999996</x:v>
      </x:c>
      <x:c r="F25" s="2" t="n">
        <x:v>671.77</x:v>
      </x:c>
      <x:c r="G25" s="2" t="n">
        <x:v>77.3</x:v>
      </x:c>
      <x:c r="H25" s="2" t="n">
        <x:v>10.42</x:v>
      </x:c>
      <x:c r="I25" s="2" t="n">
        <x:v>432.73</x:v>
      </x:c>
      <x:c r="J25" s="13" t="n">
        <x:f>F25-G25+H25</x:f>
        <x:v>604.89</x:v>
      </x:c>
      <x:c r="K25" s="15" t="n">
        <x:f>J25/E25</x:f>
        <x:v>0.2606835028443372</x:v>
      </x:c>
      <x:c r="L25" s="22" t="n">
        <x:f>I25/Evidence!D8</x:f>
        <x:v>133.30874567970363</x:v>
      </x:c>
      <x:c r="M25" s="2"/>
    </x:row>
    <x:row r="26" ht="23" customHeight="1">
      <x:c r="C26" s="1" t="str">
        <x:v>Jun 2018</x:v>
      </x:c>
      <x:c r="D26" s="2" t="n">
        <x:v>12</x:v>
      </x:c>
      <x:c r="E26" s="2" t="n">
        <x:v>2455.29</x:v>
      </x:c>
      <x:c r="F26" s="2" t="n">
        <x:v>581.77</x:v>
      </x:c>
      <x:c r="G26" s="2" t="n">
        <x:v>24.07</x:v>
      </x:c>
      <x:c r="H26" s="2" t="n">
        <x:v>5.32</x:v>
      </x:c>
      <x:c r="I26" s="2" t="n">
        <x:v>374.59</x:v>
      </x:c>
      <x:c r="J26" s="13" t="n">
        <x:f>F26-G26+H26</x:f>
        <x:v>563.02</x:v>
      </x:c>
      <x:c r="K26" s="15" t="n">
        <x:f>J26/E26</x:f>
        <x:v>0.22930896146687357</x:v>
      </x:c>
      <x:c r="L26" s="22" t="n">
        <x:f>I26/Evidence!D8</x:f>
        <x:v>115.39787637593922</x:v>
      </x:c>
      <x:c r="M26" s="2"/>
    </x:row>
    <x:row r="27" ht="23" customHeight="1">
      <x:c r="C27" s="1" t="str">
        <x:v>Jun 2019</x:v>
      </x:c>
      <x:c r="D27" s="2" t="n">
        <x:v>12</x:v>
      </x:c>
      <x:c r="E27" s="2" t="n">
        <x:v>2946.85</x:v>
      </x:c>
      <x:c r="F27" s="2" t="n">
        <x:v>607.33</x:v>
      </x:c>
      <x:c r="G27" s="2" t="n">
        <x:v>53.34</x:v>
      </x:c>
      <x:c r="H27" s="2" t="n">
        <x:v>5.48</x:v>
      </x:c>
      <x:c r="I27" s="2" t="n">
        <x:v>419.13</x:v>
      </x:c>
      <x:c r="J27" s="13" t="n">
        <x:f>F27-G27+H27</x:f>
        <x:v>559.47</x:v>
      </x:c>
      <x:c r="K27" s="15" t="n">
        <x:f>J27/E27</x:f>
        <x:v>0.18985357245872714</x:v>
      </x:c>
      <x:c r="L27" s="22" t="n">
        <x:f>I27/Evidence!D8</x:f>
        <x:v>129.1190686495833</x:v>
      </x:c>
      <x:c r="M27" s="2"/>
    </x:row>
    <x:row r="28" ht="23" customHeight="1">
      <x:c r="C28" s="1" t="str">
        <x:v>Jun 2020</x:v>
      </x:c>
      <x:c r="D28" s="2" t="n">
        <x:v>12</x:v>
      </x:c>
      <x:c r="E28" s="2" t="n">
        <x:v>3001.99</x:v>
      </x:c>
      <x:c r="F28" s="2" t="n">
        <x:v>593.87</x:v>
      </x:c>
      <x:c r="G28" s="2" t="n">
        <x:v>44.11</x:v>
      </x:c>
      <x:c r="H28" s="2" t="n">
        <x:v>6.07</x:v>
      </x:c>
      <x:c r="I28" s="2" t="n">
        <x:v>433.08</x:v>
      </x:c>
      <x:c r="J28" s="13" t="n">
        <x:f>F28-G28+H28</x:f>
        <x:v>555.83</x:v>
      </x:c>
      <x:c r="K28" s="15" t="n">
        <x:f>J28/E28</x:f>
        <x:v>0.18515384794752818</x:v>
      </x:c>
      <x:c r="L28" s="22" t="n">
        <x:f>I28/Evidence!D8</x:f>
        <x:v>133.41656825033172</x:v>
      </x:c>
      <x:c r="M28" s="2"/>
    </x:row>
    <x:row r="29" ht="23" customHeight="1">
      <x:c r="C29" s="1" t="str">
        <x:v>Jun 2021</x:v>
      </x:c>
      <x:c r="D29" s="2" t="n">
        <x:v>12</x:v>
      </x:c>
      <x:c r="E29" s="2" t="n">
        <x:v>3574.14</x:v>
      </x:c>
      <x:c r="F29" s="2" t="n">
        <x:v>869.89</x:v>
      </x:c>
      <x:c r="G29" s="2" t="n">
        <x:v>39.38</x:v>
      </x:c>
      <x:c r="H29" s="2" t="n">
        <x:v>6.11</x:v>
      </x:c>
      <x:c r="I29" s="2" t="n">
        <x:v>651.79</x:v>
      </x:c>
      <x:c r="J29" s="13" t="n">
        <x:f>F29-G29+H29</x:f>
        <x:v>836.62</x:v>
      </x:c>
      <x:c r="K29" s="15" t="n">
        <x:f>J29/E29</x:f>
        <x:v>0.23407588958462736</x:v>
      </x:c>
      <x:c r="L29" s="22" t="n">
        <x:f>I29/Evidence!D8</x:f>
        <x:v>200.79335231339178</x:v>
      </x:c>
      <x:c r="M29" s="2"/>
    </x:row>
    <x:row r="30" ht="23" customHeight="1">
      <x:c r="C30" s="1" t="str">
        <x:v>Jun 2022</x:v>
      </x:c>
      <x:c r="D30" s="2" t="n">
        <x:v>12</x:v>
      </x:c>
      <x:c r="E30" s="2" t="n">
        <x:v>3900.92</x:v>
      </x:c>
      <x:c r="F30" s="2" t="n">
        <x:v>790.14</x:v>
      </x:c>
      <x:c r="G30" s="2" t="n">
        <x:v>24.32</x:v>
      </x:c>
      <x:c r="H30" s="2" t="n">
        <x:v>11.19</x:v>
      </x:c>
      <x:c r="I30" s="2" t="n">
        <x:v>575.75</x:v>
      </x:c>
      <x:c r="J30" s="13" t="n">
        <x:f>F30-G30+H30</x:f>
        <x:v>777.01</x:v>
      </x:c>
      <x:c r="K30" s="15" t="n">
        <x:f>J30/E30</x:f>
        <x:v>0.19918634578509684</x:v>
      </x:c>
      <x:c r="L30" s="22" t="n">
        <x:f>I30/Evidence!D8</x:f>
        <x:v>177.36812868321903</x:v>
      </x:c>
      <x:c r="M30" s="2"/>
    </x:row>
    <x:row r="31" ht="23" customHeight="1">
      <x:c r="C31" s="1" t="str">
        <x:v>Jun 2023</x:v>
      </x:c>
      <x:c r="D31" s="2" t="n">
        <x:v>12</x:v>
      </x:c>
      <x:c r="E31" s="2" t="n">
        <x:v>3917.9</x:v>
      </x:c>
      <x:c r="F31" s="2" t="n">
        <x:v>839.47</x:v>
      </x:c>
      <x:c r="G31" s="2" t="n">
        <x:v>40.58</x:v>
      </x:c>
      <x:c r="H31" s="2" t="n">
        <x:v>11.38</x:v>
      </x:c>
      <x:c r="I31" s="2" t="n">
        <x:v>678.14</x:v>
      </x:c>
      <x:c r="J31" s="13" t="n">
        <x:f>F31-G31+H31</x:f>
        <x:v>810.27</x:v>
      </x:c>
      <x:c r="K31" s="15" t="n">
        <x:f>J31/E31</x:f>
        <x:v>0.20681232292809923</x:v>
      </x:c>
      <x:c r="L31" s="22" t="n">
        <x:f>I31/Evidence!D8</x:f>
        <x:v>208.91085155924992</x:v>
      </x:c>
      <x:c r="M31" s="2"/>
    </x:row>
    <x:row r="32" ht="23" customHeight="1">
      <x:c r="C32" s="1" t="str">
        <x:v>Jun 2024</x:v>
      </x:c>
      <x:c r="D32" s="2" t="n">
        <x:v>12</x:v>
      </x:c>
      <x:c r="E32" s="2" t="n">
        <x:v>4205.7</x:v>
      </x:c>
      <x:c r="F32" s="2" t="n">
        <x:v>939.2</x:v>
      </x:c>
      <x:c r="G32" s="2" t="n">
        <x:v>52.25</x:v>
      </x:c>
      <x:c r="H32" s="2" t="n">
        <x:v>26.78</x:v>
      </x:c>
      <x:c r="I32" s="2" t="n">
        <x:v>675.02</x:v>
      </x:c>
      <x:c r="J32" s="13" t="n">
        <x:f>F32-G32+H32</x:f>
        <x:v>913.73</x:v>
      </x:c>
      <x:c r="K32" s="15" t="n">
        <x:f>J32/E32</x:f>
        <x:v>0.21725990917088714</x:v>
      </x:c>
      <x:c r="L32" s="22" t="n">
        <x:f>I32/Evidence!D8</x:f>
        <x:v>207.9496903582223</x:v>
      </x:c>
      <x:c r="M32" s="2"/>
    </x:row>
    <x:row r="33" ht="23" customHeight="1">
      <x:c r="C33" s="1" t="str">
        <x:v>Mar 2025</x:v>
      </x:c>
      <x:c r="D33" s="2" t="n">
        <x:v>9</x:v>
      </x:c>
      <x:c r="E33" s="2" t="n">
        <x:v>3374.42</x:v>
      </x:c>
      <x:c r="F33" s="2" t="n">
        <x:v>862.16</x:v>
      </x:c>
      <x:c r="G33" s="2" t="n">
        <x:v>37.34</x:v>
      </x:c>
      <x:c r="H33" s="2" t="n">
        <x:v>14.3</x:v>
      </x:c>
      <x:c r="I33" s="2" t="n">
        <x:v>636.59</x:v>
      </x:c>
      <x:c r="J33" s="13" t="n">
        <x:f>F33-G33+H33</x:f>
        <x:v>839.1199999999999</x:v>
      </x:c>
      <x:c r="K33" s="15" t="n">
        <x:f>J33/E33</x:f>
        <x:v>0.24867088269984172</x:v>
      </x:c>
      <x:c r="L33" s="22" t="n">
        <x:f>I33/Evidence!D8</x:f>
        <x:v>196.11077210325732</x:v>
      </x:c>
      <x:c r="M33" s="2"/>
    </x:row>
    <x:row r="34" ht="23" customHeight="1">
      <x:c r="C34" s="1" t="str">
        <x:v>Mar 2026</x:v>
      </x:c>
      <x:c r="D34" s="2" t="n">
        <x:v>12</x:v>
      </x:c>
      <x:c r="E34" s="2" t="n">
        <x:v>4290.42</x:v>
      </x:c>
      <x:c r="F34" s="2" t="n">
        <x:v>1166.63</x:v>
      </x:c>
      <x:c r="G34" s="2" t="n">
        <x:v>42.47</x:v>
      </x:c>
      <x:c r="H34" s="2" t="n">
        <x:v>9.45</x:v>
      </x:c>
      <x:c r="I34" s="2" t="n">
        <x:v>856.5</x:v>
      </x:c>
      <x:c r="J34" s="13" t="n">
        <x:f>F34-G34+H34</x:f>
        <x:v>1133.6100000000001</x:v>
      </x:c>
      <x:c r="K34" s="15" t="n">
        <x:f>J34/E34</x:f>
        <x:v>0.2642188876613479</x:v>
      </x:c>
      <x:c r="L34" s="22" t="n">
        <x:f>I34/Evidence!D8</x:f>
        <x:v>263.85723355132797</x:v>
      </x:c>
      <x:c r="M34" s="2"/>
    </x:row>
    <x:row r="35" ht="23" customHeight="1"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 t="str">
        <x:v>FY2025 is nine months; use aligned 12 m below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7" customHeight="1">
      <x:c r="C39" s="10" t="str">
        <x:v>Period</x:v>
      </x:c>
      <x:c r="D39" s="27" t="str">
        <x:v>Revenue</x:v>
      </x:c>
      <x:c r="E39" s="27" t="str">
        <x:v>EBIT</x:v>
      </x:c>
      <x:c r="F39" s="27" t="str">
        <x:v>Margin</x:v>
      </x:c>
      <x:c r="G39" s="2"/>
      <x:c r="H39" s="2"/>
      <x:c r="I39" s="2"/>
      <x:c r="J39" s="2"/>
      <x:c r="K39" s="2"/>
      <x:c r="L39" s="2"/>
      <x:c r="M39" s="2"/>
    </x:row>
    <x:row r="40" ht="23" customHeight="1">
      <x:c r="C40" s="1" t="str">
        <x:v>Mar2025 aligned12m</x:v>
      </x:c>
      <x:c r="D40" s="2" t="n">
        <x:v>4306.17</x:v>
      </x:c>
      <x:c r="E40" s="2" t="n">
        <x:v>944.0099999999999</x:v>
      </x:c>
      <x:c r="F40" s="16" t="n">
        <x:v>0.21922265029016502</x:v>
      </x:c>
      <x:c r="G40" s="2"/>
      <x:c r="H40" s="2"/>
      <x:c r="I40" s="2"/>
      <x:c r="J40" s="2"/>
      <x:c r="K40" s="2"/>
      <x:c r="L40" s="2"/>
      <x:c r="M40" s="2"/>
    </x:row>
    <x:row r="41" ht="23" customHeight="1">
      <x:c r="C41" s="1" t="str">
        <x:v>Jun2026 TTM</x:v>
      </x:c>
      <x:c r="D41" s="2" t="n">
        <x:v>4244.85</x:v>
      </x:c>
      <x:c r="E41" s="2" t="n">
        <x:v>1037.0000000000002</x:v>
      </x:c>
      <x:c r="F41" s="16" t="n">
        <x:v>0.24429602930610037</x:v>
      </x:c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  <x:drawing xmlns:r="http://schemas.openxmlformats.org/officeDocument/2006/relationships" r:id="R9b29330f340e49b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8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price history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Calendar year</x:v>
      </x:c>
      <x:c r="D6" s="10" t="str">
        <x:v>Year-end close</x:v>
      </x:c>
      <x:c r="E6" s="10" t="str">
        <x:v>Gross DPS</x:v>
      </x:c>
      <x:c r="F6" s="10" t="str">
        <x:v>Price return</x:v>
      </x:c>
      <x:c r="G6" s="10" t="str">
        <x:v>Cash total return</x:v>
      </x:c>
      <x:c r="H6" s="1"/>
      <x:c r="I6" s="1"/>
      <x:c r="J6" s="1"/>
      <x:c r="K6" s="1"/>
      <x:c r="L6" s="1"/>
      <x:c r="M6" s="1"/>
    </x:row>
    <x:row r="7" ht="23" customHeight="1">
      <x:c r="C7" s="1" t="n">
        <x:v>2016</x:v>
      </x:c>
      <x:c r="D7" s="2" t="n">
        <x:v>7084.05</x:v>
      </x:c>
      <x:c r="E7" s="2" t="n">
        <x:v>36</x:v>
      </x:c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C8" s="1" t="n">
        <x:v>2017</x:v>
      </x:c>
      <x:c r="D8" s="2" t="n">
        <x:v>9395.8</x:v>
      </x:c>
      <x:c r="E8" s="2" t="n">
        <x:v>389</x:v>
      </x:c>
      <x:c r="F8" s="15" t="n">
        <x:f>D8/D7-1</x:f>
        <x:v>0.32633168879383945</x:v>
      </x:c>
      <x:c r="G8" s="15" t="n">
        <x:f>(D8+E8)/D7-1</x:f>
        <x:v>0.38124378004107795</x:v>
      </x:c>
      <x:c r="H8" s="2"/>
      <x:c r="I8" s="2"/>
      <x:c r="J8" s="2"/>
      <x:c r="K8" s="2"/>
      <x:c r="L8" s="2"/>
      <x:c r="M8" s="2"/>
    </x:row>
    <x:row r="9" ht="23" customHeight="1">
      <x:c r="C9" s="1" t="n">
        <x:v>2018</x:v>
      </x:c>
      <x:c r="D9" s="2" t="n">
        <x:v>9884.1</x:v>
      </x:c>
      <x:c r="E9" s="2" t="n">
        <x:v>40</x:v>
      </x:c>
      <x:c r="F9" s="15" t="n">
        <x:f>D9/D8-1</x:f>
        <x:v>0.051970029161966025</x:v>
      </x:c>
      <x:c r="G9" s="15" t="n">
        <x:f>(D9+E9)/D8-1</x:f>
        <x:v>0.0562272504736161</x:v>
      </x:c>
      <x:c r="H9" s="2"/>
      <x:c r="I9" s="2"/>
      <x:c r="J9" s="2"/>
      <x:c r="K9" s="2"/>
      <x:c r="L9" s="2"/>
      <x:c r="M9" s="2"/>
    </x:row>
    <x:row r="10" ht="23" customHeight="1">
      <x:c r="C10" s="1" t="n">
        <x:v>2019</x:v>
      </x:c>
      <x:c r="D10" s="2" t="n">
        <x:v>11447</x:v>
      </x:c>
      <x:c r="E10" s="2" t="n">
        <x:v>88</x:v>
      </x:c>
      <x:c r="F10" s="15" t="n">
        <x:f>D10/D9-1</x:f>
        <x:v>0.15812264141398802</x:v>
      </x:c>
      <x:c r="G10" s="15" t="n">
        <x:f>(D10+E10)/D9-1</x:f>
        <x:v>0.16702582936230903</x:v>
      </x:c>
      <x:c r="H10" s="2"/>
      <x:c r="I10" s="2"/>
      <x:c r="J10" s="2"/>
      <x:c r="K10" s="2"/>
      <x:c r="L10" s="2"/>
      <x:c r="M10" s="2"/>
    </x:row>
    <x:row r="11" ht="23" customHeight="1">
      <x:c r="C11" s="1" t="n">
        <x:v>2020</x:v>
      </x:c>
      <x:c r="D11" s="2" t="n">
        <x:v>11072.3</x:v>
      </x:c>
      <x:c r="E11" s="2" t="n">
        <x:v>105</x:v>
      </x:c>
      <x:c r="F11" s="15" t="n">
        <x:f>D11/D10-1</x:f>
        <x:v>-0.032733467284004614</x:v>
      </x:c>
      <x:c r="G11" s="15" t="n">
        <x:f>(D11+E11)/D10-1</x:f>
        <x:v>-0.023560758277277993</x:v>
      </x:c>
      <x:c r="H11" s="2"/>
      <x:c r="I11" s="2"/>
      <x:c r="J11" s="2"/>
      <x:c r="K11" s="2"/>
      <x:c r="L11" s="2"/>
      <x:c r="M11" s="2"/>
    </x:row>
    <x:row r="12" ht="23" customHeight="1">
      <x:c r="C12" s="1" t="n">
        <x:v>2021</x:v>
      </x:c>
      <x:c r="D12" s="2" t="n">
        <x:v>15459.35</x:v>
      </x:c>
      <x:c r="E12" s="2" t="n">
        <x:v>315</x:v>
      </x:c>
      <x:c r="F12" s="15" t="n">
        <x:f>D12/D11-1</x:f>
        <x:v>0.39621849118972574</x:v>
      </x:c>
      <x:c r="G12" s="15" t="n">
        <x:f>(D12+E12)/D11-1</x:f>
        <x:v>0.424667864851928</x:v>
      </x:c>
      <x:c r="H12" s="2"/>
      <x:c r="I12" s="2"/>
      <x:c r="J12" s="2"/>
      <x:c r="K12" s="2"/>
      <x:c r="L12" s="2"/>
      <x:c r="M12" s="2"/>
    </x:row>
    <x:row r="13" ht="23" customHeight="1">
      <x:c r="C13" s="1" t="n">
        <x:v>2022</x:v>
      </x:c>
      <x:c r="D13" s="2" t="n">
        <x:v>14535.95</x:v>
      </x:c>
      <x:c r="E13" s="2" t="n">
        <x:v>160</x:v>
      </x:c>
      <x:c r="F13" s="15" t="n">
        <x:f>D13/D12-1</x:f>
        <x:v>-0.05973084249984639</x:v>
      </x:c>
      <x:c r="G13" s="15" t="n">
        <x:f>(D13+E13)/D12-1</x:f>
        <x:v>-0.049381118869810114</x:v>
      </x:c>
      <x:c r="H13" s="2"/>
      <x:c r="I13" s="2"/>
      <x:c r="J13" s="2"/>
      <x:c r="K13" s="2"/>
      <x:c r="L13" s="2"/>
      <x:c r="M13" s="2"/>
    </x:row>
    <x:row r="14" ht="23" customHeight="1">
      <x:c r="C14" s="1" t="n">
        <x:v>2023</x:v>
      </x:c>
      <x:c r="D14" s="2" t="n">
        <x:v>17366.05</x:v>
      </x:c>
      <x:c r="E14" s="2" t="n">
        <x:v>185</x:v>
      </x:c>
      <x:c r="F14" s="15" t="n">
        <x:f>D14/D13-1</x:f>
        <x:v>0.19469659705763975</x:v>
      </x:c>
      <x:c r="G14" s="15" t="n">
        <x:f>(D14+E14)/D13-1</x:f>
        <x:v>0.2074236634000528</x:v>
      </x:c>
      <x:c r="H14" s="2"/>
      <x:c r="I14" s="2"/>
      <x:c r="J14" s="2"/>
      <x:c r="K14" s="2"/>
      <x:c r="L14" s="2"/>
      <x:c r="M14" s="2"/>
    </x:row>
    <x:row r="15" ht="23" customHeight="1">
      <x:c r="C15" s="1" t="n">
        <x:v>2024</x:v>
      </x:c>
      <x:c r="D15" s="2" t="n">
        <x:v>14714</x:v>
      </x:c>
      <x:c r="E15" s="2" t="n">
        <x:v>255</x:v>
      </x:c>
      <x:c r="F15" s="15" t="n">
        <x:f>D15/D14-1</x:f>
        <x:v>-0.15271463574042454</x:v>
      </x:c>
      <x:c r="G15" s="15" t="n">
        <x:f>(D15+E15)/D14-1</x:f>
        <x:v>-0.1380308129943193</x:v>
      </x:c>
      <x:c r="H15" s="2"/>
      <x:c r="I15" s="2"/>
      <x:c r="J15" s="2"/>
      <x:c r="K15" s="2"/>
      <x:c r="L15" s="2"/>
      <x:c r="M15" s="2"/>
    </x:row>
    <x:row r="16" ht="23" customHeight="1">
      <x:c r="C16" s="1" t="n">
        <x:v>2025</x:v>
      </x:c>
      <x:c r="D16" s="2" t="n">
        <x:v>12971</x:v>
      </x:c>
      <x:c r="E16" s="2" t="n">
        <x:v>175</x:v>
      </x:c>
      <x:c r="F16" s="15" t="n">
        <x:f>D16/D15-1</x:f>
        <x:v>-0.11845861084681253</x:v>
      </x:c>
      <x:c r="G16" s="15" t="n">
        <x:f>(D16+E16)/D15-1</x:f>
        <x:v>-0.10656517602283544</x:v>
      </x:c>
      <x:c r="H16" s="2"/>
      <x:c r="I16" s="2"/>
      <x:c r="J16" s="2"/>
      <x:c r="K16" s="2"/>
      <x:c r="L16" s="2"/>
      <x:c r="M16" s="2"/>
    </x:row>
    <x:row r="17" ht="23" customHeight="1">
      <x:c r="C17" s="1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3" customHeight="1">
      <x:c r="C18" s="1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C19" s="1" t="str">
        <x:v>Closes: secondary source; dividends not reinvested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C20" s="1" t="str">
        <x:v>Current NSE quote is on Evidence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7" customHeight="1">
      <x:c r="C23" s="10" t="str">
        <x:v>Month</x:v>
      </x:c>
      <x:c r="D23" s="27" t="str">
        <x:v>NSE intraday high</x:v>
      </x:c>
      <x:c r="E23" s="27" t="str">
        <x:v>NSE intraday low</x:v>
      </x:c>
      <x:c r="F23" s="27" t="str">
        <x:v>Issuer annual report source</x:v>
      </x:c>
      <x:c r="G23" s="2"/>
      <x:c r="H23" s="2"/>
      <x:c r="I23" s="2"/>
      <x:c r="J23" s="2"/>
      <x:c r="K23" s="2"/>
      <x:c r="L23" s="2"/>
      <x:c r="M23" s="2"/>
    </x:row>
    <x:row r="24" ht="23" customHeight="1">
      <x:c r="C24" s="1" t="str">
        <x:v>2016-07-01</x:v>
      </x:c>
      <x:c r="D24" s="2" t="n">
        <x:v>6666</x:v>
      </x:c>
      <x:c r="E24" s="2" t="n">
        <x:v>6175</x:v>
      </x:c>
      <x:c r="F24" s="2" t="str">
        <x:v>https://assets.ctfassets.net/oe48y40ukei6/3fR0myCky16q23WTiJwkDQ/5b53a3838bf86d291fd10e32fdae89a6/annual_report_2017.pdf</x:v>
      </x:c>
      <x:c r="G24" s="2"/>
      <x:c r="H24" s="2"/>
      <x:c r="I24" s="2"/>
      <x:c r="J24" s="2"/>
      <x:c r="K24" s="2"/>
      <x:c r="L24" s="2"/>
      <x:c r="M24" s="2"/>
    </x:row>
    <x:row r="25" ht="23" customHeight="1">
      <x:c r="C25" s="1" t="str">
        <x:v>2016-08-01</x:v>
      </x:c>
      <x:c r="D25" s="2" t="n">
        <x:v>7121</x:v>
      </x:c>
      <x:c r="E25" s="2" t="n">
        <x:v>6295.55</x:v>
      </x:c>
      <x:c r="F25" s="2" t="str">
        <x:v>https://assets.ctfassets.net/oe48y40ukei6/3fR0myCky16q23WTiJwkDQ/5b53a3838bf86d291fd10e32fdae89a6/annual_report_2017.pdf</x:v>
      </x:c>
      <x:c r="G25" s="2"/>
      <x:c r="H25" s="2"/>
      <x:c r="I25" s="2"/>
      <x:c r="J25" s="2"/>
      <x:c r="K25" s="2"/>
      <x:c r="L25" s="2"/>
      <x:c r="M25" s="2"/>
    </x:row>
    <x:row r="26" ht="23" customHeight="1">
      <x:c r="C26" s="1" t="str">
        <x:v>2016-09-01</x:v>
      </x:c>
      <x:c r="D26" s="2" t="n">
        <x:v>7119.9</x:v>
      </x:c>
      <x:c r="E26" s="2" t="n">
        <x:v>6485</x:v>
      </x:c>
      <x:c r="F26" s="2" t="str">
        <x:v>https://assets.ctfassets.net/oe48y40ukei6/3fR0myCky16q23WTiJwkDQ/5b53a3838bf86d291fd10e32fdae89a6/annual_report_2017.pdf</x:v>
      </x:c>
      <x:c r="G26" s="2"/>
      <x:c r="H26" s="2"/>
      <x:c r="I26" s="2"/>
      <x:c r="J26" s="2"/>
      <x:c r="K26" s="2"/>
      <x:c r="L26" s="2"/>
      <x:c r="M26" s="2"/>
    </x:row>
    <x:row r="27" ht="23" customHeight="1">
      <x:c r="C27" s="1" t="str">
        <x:v>2016-10-01</x:v>
      </x:c>
      <x:c r="D27" s="2" t="n">
        <x:v>7252</x:v>
      </x:c>
      <x:c r="E27" s="2" t="n">
        <x:v>6767.3</x:v>
      </x:c>
      <x:c r="F27" s="2" t="str">
        <x:v>https://assets.ctfassets.net/oe48y40ukei6/3fR0myCky16q23WTiJwkDQ/5b53a3838bf86d291fd10e32fdae89a6/annual_report_2017.pdf</x:v>
      </x:c>
      <x:c r="G27" s="2"/>
      <x:c r="H27" s="2"/>
      <x:c r="I27" s="2"/>
      <x:c r="J27" s="2"/>
      <x:c r="K27" s="2"/>
      <x:c r="L27" s="2"/>
      <x:c r="M27" s="2"/>
    </x:row>
    <x:row r="28" ht="23" customHeight="1">
      <x:c r="C28" s="1" t="str">
        <x:v>2016-11-01</x:v>
      </x:c>
      <x:c r="D28" s="2" t="n">
        <x:v>7229.95</x:v>
      </x:c>
      <x:c r="E28" s="2" t="n">
        <x:v>6001</x:v>
      </x:c>
      <x:c r="F28" s="2" t="str">
        <x:v>https://assets.ctfassets.net/oe48y40ukei6/3fR0myCky16q23WTiJwkDQ/5b53a3838bf86d291fd10e32fdae89a6/annual_report_2017.pdf</x:v>
      </x:c>
      <x:c r="G28" s="2"/>
      <x:c r="H28" s="2"/>
      <x:c r="I28" s="2"/>
      <x:c r="J28" s="2"/>
      <x:c r="K28" s="2"/>
      <x:c r="L28" s="2"/>
      <x:c r="M28" s="2"/>
    </x:row>
    <x:row r="29" ht="23" customHeight="1">
      <x:c r="C29" s="1" t="str">
        <x:v>2016-12-01</x:v>
      </x:c>
      <x:c r="D29" s="2" t="n">
        <x:v>7200</x:v>
      </x:c>
      <x:c r="E29" s="2" t="n">
        <x:v>6500</x:v>
      </x:c>
      <x:c r="F29" s="2" t="str">
        <x:v>https://assets.ctfassets.net/oe48y40ukei6/3fR0myCky16q23WTiJwkDQ/5b53a3838bf86d291fd10e32fdae89a6/annual_report_2017.pdf</x:v>
      </x:c>
      <x:c r="G29" s="2"/>
      <x:c r="H29" s="2"/>
      <x:c r="I29" s="2"/>
      <x:c r="J29" s="2"/>
      <x:c r="K29" s="2"/>
      <x:c r="L29" s="2"/>
      <x:c r="M29" s="2"/>
    </x:row>
    <x:row r="30" ht="23" customHeight="1">
      <x:c r="C30" s="1" t="str">
        <x:v>2017-01-01</x:v>
      </x:c>
      <x:c r="D30" s="2" t="n">
        <x:v>7100</x:v>
      </x:c>
      <x:c r="E30" s="2" t="n">
        <x:v>6700.1</x:v>
      </x:c>
      <x:c r="F30" s="2" t="str">
        <x:v>https://assets.ctfassets.net/oe48y40ukei6/3fR0myCky16q23WTiJwkDQ/5b53a3838bf86d291fd10e32fdae89a6/annual_report_2017.pdf</x:v>
      </x:c>
      <x:c r="G30" s="2"/>
      <x:c r="H30" s="2"/>
      <x:c r="I30" s="2"/>
      <x:c r="J30" s="2"/>
      <x:c r="K30" s="2"/>
      <x:c r="L30" s="2"/>
      <x:c r="M30" s="2"/>
    </x:row>
    <x:row r="31" ht="23" customHeight="1">
      <x:c r="C31" s="1" t="str">
        <x:v>2017-02-01</x:v>
      </x:c>
      <x:c r="D31" s="2" t="n">
        <x:v>7150</x:v>
      </x:c>
      <x:c r="E31" s="2" t="n">
        <x:v>6865.2</x:v>
      </x:c>
      <x:c r="F31" s="2" t="str">
        <x:v>https://assets.ctfassets.net/oe48y40ukei6/3fR0myCky16q23WTiJwkDQ/5b53a3838bf86d291fd10e32fdae89a6/annual_report_2017.pdf</x:v>
      </x:c>
      <x:c r="G31" s="2"/>
      <x:c r="H31" s="2"/>
      <x:c r="I31" s="2"/>
      <x:c r="J31" s="2"/>
      <x:c r="K31" s="2"/>
      <x:c r="L31" s="2"/>
      <x:c r="M31" s="2"/>
    </x:row>
    <x:row r="32" ht="23" customHeight="1">
      <x:c r="C32" s="1" t="str">
        <x:v>2017-03-01</x:v>
      </x:c>
      <x:c r="D32" s="2" t="n">
        <x:v>7635.7</x:v>
      </x:c>
      <x:c r="E32" s="2" t="n">
        <x:v>6611.15</x:v>
      </x:c>
      <x:c r="F32" s="2" t="str">
        <x:v>https://assets.ctfassets.net/oe48y40ukei6/3fR0myCky16q23WTiJwkDQ/5b53a3838bf86d291fd10e32fdae89a6/annual_report_2017.pdf</x:v>
      </x:c>
      <x:c r="G32" s="2"/>
      <x:c r="H32" s="2"/>
      <x:c r="I32" s="2"/>
      <x:c r="J32" s="2"/>
      <x:c r="K32" s="2"/>
      <x:c r="L32" s="2"/>
      <x:c r="M32" s="2"/>
    </x:row>
    <x:row r="33" ht="23" customHeight="1">
      <x:c r="C33" s="1" t="str">
        <x:v>2017-04-01</x:v>
      </x:c>
      <x:c r="D33" s="2" t="n">
        <x:v>7635</x:v>
      </x:c>
      <x:c r="E33" s="2" t="n">
        <x:v>7260.25</x:v>
      </x:c>
      <x:c r="F33" s="2" t="str">
        <x:v>https://assets.ctfassets.net/oe48y40ukei6/3fR0myCky16q23WTiJwkDQ/5b53a3838bf86d291fd10e32fdae89a6/annual_report_2017.pdf</x:v>
      </x:c>
      <x:c r="G33" s="2"/>
      <x:c r="H33" s="2"/>
      <x:c r="I33" s="2"/>
      <x:c r="J33" s="2"/>
      <x:c r="K33" s="2"/>
      <x:c r="L33" s="2"/>
      <x:c r="M33" s="2"/>
    </x:row>
    <x:row r="34" ht="23" customHeight="1">
      <x:c r="C34" s="1" t="str">
        <x:v>2017-05-01</x:v>
      </x:c>
      <x:c r="D34" s="2" t="n">
        <x:v>8199</x:v>
      </x:c>
      <x:c r="E34" s="2" t="n">
        <x:v>7316</x:v>
      </x:c>
      <x:c r="F34" s="2" t="str">
        <x:v>https://assets.ctfassets.net/oe48y40ukei6/3fR0myCky16q23WTiJwkDQ/5b53a3838bf86d291fd10e32fdae89a6/annual_report_2017.pdf</x:v>
      </x:c>
      <x:c r="G34" s="2"/>
      <x:c r="H34" s="2"/>
      <x:c r="I34" s="2"/>
      <x:c r="J34" s="2"/>
      <x:c r="K34" s="2"/>
      <x:c r="L34" s="2"/>
      <x:c r="M34" s="2"/>
    </x:row>
    <x:row r="35" ht="23" customHeight="1">
      <x:c r="C35" s="1" t="str">
        <x:v>2017-06-01</x:v>
      </x:c>
      <x:c r="D35" s="2" t="n">
        <x:v>8166.95</x:v>
      </x:c>
      <x:c r="E35" s="2" t="n">
        <x:v>7460.05</x:v>
      </x:c>
      <x:c r="F35" s="2" t="str">
        <x:v>https://assets.ctfassets.net/oe48y40ukei6/3fR0myCky16q23WTiJwkDQ/5b53a3838bf86d291fd10e32fdae89a6/annual_report_2017.pdf</x:v>
      </x:c>
      <x:c r="G35" s="2"/>
      <x:c r="H35" s="2"/>
      <x:c r="I35" s="2"/>
      <x:c r="J35" s="2"/>
      <x:c r="K35" s="2"/>
      <x:c r="L35" s="2"/>
      <x:c r="M35" s="2"/>
    </x:row>
    <x:row r="36" ht="23" customHeight="1">
      <x:c r="C36" s="1" t="str">
        <x:v>2017-07-01</x:v>
      </x:c>
      <x:c r="D36" s="2" t="n">
        <x:v>8387</x:v>
      </x:c>
      <x:c r="E36" s="2" t="n">
        <x:v>7925.7</x:v>
      </x:c>
      <x:c r="F36" s="2" t="str">
        <x:v>https://assets.ctfassets.net/oe48y40ukei6/3DrLeMrRE39AeL1tFNHziO/fbacb458fd12d5e843085c7d4889762b/annual_report_2018.pdf</x:v>
      </x:c>
      <x:c r="G36" s="2"/>
      <x:c r="H36" s="2"/>
      <x:c r="I36" s="2"/>
      <x:c r="J36" s="2"/>
      <x:c r="K36" s="2"/>
      <x:c r="L36" s="2"/>
      <x:c r="M36" s="2"/>
    </x:row>
    <x:row r="37" ht="23" customHeight="1">
      <x:c r="C37" s="1" t="str">
        <x:v>2017-08-01</x:v>
      </x:c>
      <x:c r="D37" s="2" t="n">
        <x:v>8345</x:v>
      </x:c>
      <x:c r="E37" s="2" t="n">
        <x:v>7851.5</x:v>
      </x:c>
      <x:c r="F37" s="2" t="str">
        <x:v>https://assets.ctfassets.net/oe48y40ukei6/3DrLeMrRE39AeL1tFNHziO/fbacb458fd12d5e843085c7d4889762b/annual_report_2018.pdf</x:v>
      </x:c>
      <x:c r="G37" s="2"/>
      <x:c r="H37" s="2"/>
      <x:c r="I37" s="2"/>
      <x:c r="J37" s="2"/>
      <x:c r="K37" s="2"/>
      <x:c r="L37" s="2"/>
      <x:c r="M37" s="2"/>
    </x:row>
    <x:row r="38" ht="23" customHeight="1">
      <x:c r="C38" s="1" t="str">
        <x:v>2017-09-01</x:v>
      </x:c>
      <x:c r="D38" s="2" t="n">
        <x:v>8865.8</x:v>
      </x:c>
      <x:c r="E38" s="2" t="n">
        <x:v>8131.05</x:v>
      </x:c>
      <x:c r="F38" s="2" t="str">
        <x:v>https://assets.ctfassets.net/oe48y40ukei6/3DrLeMrRE39AeL1tFNHziO/fbacb458fd12d5e843085c7d4889762b/annual_report_2018.pdf</x:v>
      </x:c>
      <x:c r="G38" s="2"/>
      <x:c r="H38" s="2"/>
      <x:c r="I38" s="2"/>
      <x:c r="J38" s="2"/>
      <x:c r="K38" s="2"/>
      <x:c r="L38" s="2"/>
      <x:c r="M38" s="2"/>
    </x:row>
    <x:row r="39" ht="23" customHeight="1">
      <x:c r="C39" s="1" t="str">
        <x:v>2017-10-01</x:v>
      </x:c>
      <x:c r="D39" s="2" t="n">
        <x:v>8747</x:v>
      </x:c>
      <x:c r="E39" s="2" t="n">
        <x:v>8388</x:v>
      </x:c>
      <x:c r="F39" s="2" t="str">
        <x:v>https://assets.ctfassets.net/oe48y40ukei6/3DrLeMrRE39AeL1tFNHziO/fbacb458fd12d5e843085c7d4889762b/annual_report_2018.pdf</x:v>
      </x:c>
      <x:c r="G39" s="2"/>
      <x:c r="H39" s="2"/>
      <x:c r="I39" s="2"/>
      <x:c r="J39" s="2"/>
      <x:c r="K39" s="2"/>
      <x:c r="L39" s="2"/>
      <x:c r="M39" s="2"/>
    </x:row>
    <x:row r="40" ht="23" customHeight="1">
      <x:c r="C40" s="1" t="str">
        <x:v>2017-11-01</x:v>
      </x:c>
      <x:c r="D40" s="2" t="n">
        <x:v>9600</x:v>
      </x:c>
      <x:c r="E40" s="2" t="n">
        <x:v>8639.05</x:v>
      </x:c>
      <x:c r="F40" s="2" t="str">
        <x:v>https://assets.ctfassets.net/oe48y40ukei6/3DrLeMrRE39AeL1tFNHziO/fbacb458fd12d5e843085c7d4889762b/annual_report_2018.pdf</x:v>
      </x:c>
      <x:c r="G40" s="2"/>
      <x:c r="H40" s="2"/>
      <x:c r="I40" s="2"/>
      <x:c r="J40" s="2"/>
      <x:c r="K40" s="2"/>
      <x:c r="L40" s="2"/>
      <x:c r="M40" s="2"/>
    </x:row>
    <x:row r="41" ht="23" customHeight="1">
      <x:c r="C41" s="1" t="str">
        <x:v>2017-12-01</x:v>
      </x:c>
      <x:c r="D41" s="2" t="n">
        <x:v>9900</x:v>
      </x:c>
      <x:c r="E41" s="2" t="n">
        <x:v>9239.1</x:v>
      </x:c>
      <x:c r="F41" s="2" t="str">
        <x:v>https://assets.ctfassets.net/oe48y40ukei6/3DrLeMrRE39AeL1tFNHziO/fbacb458fd12d5e843085c7d4889762b/annual_report_2018.pdf</x:v>
      </x:c>
      <x:c r="G41" s="2"/>
      <x:c r="H41" s="2"/>
      <x:c r="I41" s="2"/>
      <x:c r="J41" s="2"/>
      <x:c r="K41" s="2"/>
      <x:c r="L41" s="2"/>
      <x:c r="M41" s="2"/>
    </x:row>
    <x:row r="42" ht="23" customHeight="1">
      <x:c r="C42" s="1" t="str">
        <x:v>2018-01-01</x:v>
      </x:c>
      <x:c r="D42" s="2" t="n">
        <x:v>9550</x:v>
      </x:c>
      <x:c r="E42" s="2" t="n">
        <x:v>9211.3</x:v>
      </x:c>
      <x:c r="F42" s="2" t="str">
        <x:v>https://assets.ctfassets.net/oe48y40ukei6/3DrLeMrRE39AeL1tFNHziO/fbacb458fd12d5e843085c7d4889762b/annual_report_2018.pdf</x:v>
      </x:c>
      <x:c r="G42" s="2"/>
      <x:c r="H42" s="2"/>
      <x:c r="I42" s="2"/>
      <x:c r="J42" s="2"/>
      <x:c r="K42" s="2"/>
      <x:c r="L42" s="2"/>
      <x:c r="M42" s="2"/>
    </x:row>
    <x:row r="43" ht="23" customHeight="1">
      <x:c r="C43" s="1" t="str">
        <x:v>2018-02-01</x:v>
      </x:c>
      <x:c r="D43" s="2" t="n">
        <x:v>9450</x:v>
      </x:c>
      <x:c r="E43" s="2" t="n">
        <x:v>8855.05</x:v>
      </x:c>
      <x:c r="F43" s="2" t="str">
        <x:v>https://assets.ctfassets.net/oe48y40ukei6/3DrLeMrRE39AeL1tFNHziO/fbacb458fd12d5e843085c7d4889762b/annual_report_2018.pdf</x:v>
      </x:c>
      <x:c r="G43" s="2"/>
      <x:c r="H43" s="2"/>
      <x:c r="I43" s="2"/>
      <x:c r="J43" s="2"/>
      <x:c r="K43" s="2"/>
      <x:c r="L43" s="2"/>
      <x:c r="M43" s="2"/>
    </x:row>
    <x:row r="44" ht="23" customHeight="1">
      <x:c r="C44" s="1" t="str">
        <x:v>2018-03-01</x:v>
      </x:c>
      <x:c r="D44" s="2" t="n">
        <x:v>9649</x:v>
      </x:c>
      <x:c r="E44" s="2" t="n">
        <x:v>9161.05</x:v>
      </x:c>
      <x:c r="F44" s="2" t="str">
        <x:v>https://assets.ctfassets.net/oe48y40ukei6/3DrLeMrRE39AeL1tFNHziO/fbacb458fd12d5e843085c7d4889762b/annual_report_2018.pdf</x:v>
      </x:c>
      <x:c r="G44" s="2"/>
      <x:c r="H44" s="2"/>
      <x:c r="I44" s="2"/>
      <x:c r="J44" s="2"/>
      <x:c r="K44" s="2"/>
      <x:c r="L44" s="2"/>
      <x:c r="M44" s="2"/>
    </x:row>
    <x:row r="45" ht="23" customHeight="1">
      <x:c r="C45" s="1" t="str">
        <x:v>2018-04-01</x:v>
      </x:c>
      <x:c r="D45" s="2" t="n">
        <x:v>9860.95</x:v>
      </x:c>
      <x:c r="E45" s="2" t="n">
        <x:v>9225.5</x:v>
      </x:c>
      <x:c r="F45" s="2" t="str">
        <x:v>https://assets.ctfassets.net/oe48y40ukei6/3DrLeMrRE39AeL1tFNHziO/fbacb458fd12d5e843085c7d4889762b/annual_report_2018.pdf</x:v>
      </x:c>
      <x:c r="G45" s="2"/>
      <x:c r="H45" s="2"/>
      <x:c r="I45" s="2"/>
      <x:c r="J45" s="2"/>
      <x:c r="K45" s="2"/>
      <x:c r="L45" s="2"/>
      <x:c r="M45" s="2"/>
    </x:row>
    <x:row r="46" ht="23" customHeight="1">
      <x:c r="C46" s="1" t="str">
        <x:v>2018-05-01</x:v>
      </x:c>
      <x:c r="D46" s="2" t="n">
        <x:v>9800</x:v>
      </x:c>
      <x:c r="E46" s="2" t="n">
        <x:v>8800</x:v>
      </x:c>
      <x:c r="F46" s="2" t="str">
        <x:v>https://assets.ctfassets.net/oe48y40ukei6/3DrLeMrRE39AeL1tFNHziO/fbacb458fd12d5e843085c7d4889762b/annual_report_2018.pdf</x:v>
      </x:c>
      <x:c r="G46" s="2"/>
      <x:c r="H46" s="2"/>
      <x:c r="I46" s="2"/>
      <x:c r="J46" s="2"/>
      <x:c r="K46" s="2"/>
      <x:c r="L46" s="2"/>
      <x:c r="M46" s="2"/>
    </x:row>
    <x:row r="47" ht="23" customHeight="1">
      <x:c r="C47" s="1" t="str">
        <x:v>2018-06-01</x:v>
      </x:c>
      <x:c r="D47" s="2" t="n">
        <x:v>10349.95</x:v>
      </x:c>
      <x:c r="E47" s="2" t="n">
        <x:v>9200</x:v>
      </x:c>
      <x:c r="F47" s="2" t="str">
        <x:v>https://assets.ctfassets.net/oe48y40ukei6/3DrLeMrRE39AeL1tFNHziO/fbacb458fd12d5e843085c7d4889762b/annual_report_2018.pdf</x:v>
      </x:c>
      <x:c r="G47" s="2"/>
      <x:c r="H47" s="2"/>
      <x:c r="I47" s="2"/>
      <x:c r="J47" s="2"/>
      <x:c r="K47" s="2"/>
      <x:c r="L47" s="2"/>
      <x:c r="M47" s="2"/>
    </x:row>
    <x:row r="48" ht="23" customHeight="1">
      <x:c r="C48" s="1" t="str">
        <x:v>2018-07-01</x:v>
      </x:c>
      <x:c r="D48" s="2" t="n">
        <x:v>11337</x:v>
      </x:c>
      <x:c r="E48" s="2" t="n">
        <x:v>9800</x:v>
      </x:c>
      <x:c r="F48" s="2" t="str">
        <x:v>https://assets.ctfassets.net/oe48y40ukei6/3PoDqcNZZLwAbKyUY7SAHs/92cfae474c77417dab687df16ed16f4e/annual_report_2019.pdf</x:v>
      </x:c>
      <x:c r="G48" s="2"/>
      <x:c r="H48" s="2"/>
      <x:c r="I48" s="2"/>
      <x:c r="J48" s="2"/>
      <x:c r="K48" s="2"/>
      <x:c r="L48" s="2"/>
      <x:c r="M48" s="2"/>
    </x:row>
    <x:row r="49" ht="23" customHeight="1">
      <x:c r="C49" s="1" t="str">
        <x:v>2018-08-01</x:v>
      </x:c>
      <x:c r="D49" s="2" t="n">
        <x:v>10979.6</x:v>
      </x:c>
      <x:c r="E49" s="2" t="n">
        <x:v>9576.15</x:v>
      </x:c>
      <x:c r="F49" s="2" t="str">
        <x:v>https://assets.ctfassets.net/oe48y40ukei6/3PoDqcNZZLwAbKyUY7SAHs/92cfae474c77417dab687df16ed16f4e/annual_report_2019.pdf</x:v>
      </x:c>
      <x:c r="G49" s="2"/>
      <x:c r="H49" s="2"/>
      <x:c r="I49" s="2"/>
      <x:c r="J49" s="2"/>
      <x:c r="K49" s="2"/>
      <x:c r="L49" s="2"/>
      <x:c r="M49" s="2"/>
    </x:row>
    <x:row r="50" ht="23" customHeight="1">
      <x:c r="C50" s="1" t="str">
        <x:v>2018-09-01</x:v>
      </x:c>
      <x:c r="D50" s="2" t="n">
        <x:v>10395</x:v>
      </x:c>
      <x:c r="E50" s="2" t="n">
        <x:v>9300</x:v>
      </x:c>
      <x:c r="F50" s="2" t="str">
        <x:v>https://assets.ctfassets.net/oe48y40ukei6/3PoDqcNZZLwAbKyUY7SAHs/92cfae474c77417dab687df16ed16f4e/annual_report_2019.pdf</x:v>
      </x:c>
      <x:c r="G50" s="2"/>
      <x:c r="H50" s="2"/>
      <x:c r="I50" s="2"/>
      <x:c r="J50" s="2"/>
      <x:c r="K50" s="2"/>
      <x:c r="L50" s="2"/>
      <x:c r="M50" s="2"/>
    </x:row>
    <x:row r="51" ht="23" customHeight="1">
      <x:c r="C51" s="1" t="str">
        <x:v>2018-10-01</x:v>
      </x:c>
      <x:c r="D51" s="2" t="n">
        <x:v>9792.95</x:v>
      </x:c>
      <x:c r="E51" s="2" t="n">
        <x:v>8801.75</x:v>
      </x:c>
      <x:c r="F51" s="2" t="str">
        <x:v>https://assets.ctfassets.net/oe48y40ukei6/3PoDqcNZZLwAbKyUY7SAHs/92cfae474c77417dab687df16ed16f4e/annual_report_2019.pdf</x:v>
      </x:c>
      <x:c r="G51" s="2"/>
      <x:c r="H51" s="2"/>
      <x:c r="I51" s="2"/>
      <x:c r="J51" s="2"/>
      <x:c r="K51" s="2"/>
      <x:c r="L51" s="2"/>
      <x:c r="M51" s="2"/>
    </x:row>
    <x:row r="52" ht="23" customHeight="1">
      <x:c r="C52" s="1" t="str">
        <x:v>2018-11-01</x:v>
      </x:c>
      <x:c r="D52" s="2" t="n">
        <x:v>9974.55</x:v>
      </x:c>
      <x:c r="E52" s="2" t="n">
        <x:v>9221</x:v>
      </x:c>
      <x:c r="F52" s="2" t="str">
        <x:v>https://assets.ctfassets.net/oe48y40ukei6/3PoDqcNZZLwAbKyUY7SAHs/92cfae474c77417dab687df16ed16f4e/annual_report_2019.pdf</x:v>
      </x:c>
      <x:c r="G52" s="2"/>
      <x:c r="H52" s="2"/>
      <x:c r="I52" s="2"/>
      <x:c r="J52" s="2"/>
      <x:c r="K52" s="2"/>
      <x:c r="L52" s="2"/>
      <x:c r="M52" s="2"/>
    </x:row>
    <x:row r="53" ht="23" customHeight="1">
      <x:c r="C53" s="1" t="str">
        <x:v>2018-12-01</x:v>
      </x:c>
      <x:c r="D53" s="2" t="n">
        <x:v>10000</x:v>
      </x:c>
      <x:c r="E53" s="2" t="n">
        <x:v>9390</x:v>
      </x:c>
      <x:c r="F53" s="2" t="str">
        <x:v>https://assets.ctfassets.net/oe48y40ukei6/3PoDqcNZZLwAbKyUY7SAHs/92cfae474c77417dab687df16ed16f4e/annual_report_2019.pdf</x:v>
      </x:c>
      <x:c r="G53" s="2"/>
      <x:c r="H53" s="2"/>
      <x:c r="I53" s="2"/>
      <x:c r="J53" s="2"/>
      <x:c r="K53" s="2"/>
      <x:c r="L53" s="2"/>
      <x:c r="M53" s="2"/>
    </x:row>
    <x:row r="54" ht="23" customHeight="1">
      <x:c r="C54" s="1" t="str">
        <x:v>2019-01-01</x:v>
      </x:c>
      <x:c r="D54" s="2" t="n">
        <x:v>10250</x:v>
      </x:c>
      <x:c r="E54" s="2" t="n">
        <x:v>9711.35</x:v>
      </x:c>
      <x:c r="F54" s="2" t="str">
        <x:v>https://assets.ctfassets.net/oe48y40ukei6/3PoDqcNZZLwAbKyUY7SAHs/92cfae474c77417dab687df16ed16f4e/annual_report_2019.pdf</x:v>
      </x:c>
      <x:c r="G54" s="2"/>
      <x:c r="H54" s="2"/>
      <x:c r="I54" s="2"/>
      <x:c r="J54" s="2"/>
      <x:c r="K54" s="2"/>
      <x:c r="L54" s="2"/>
      <x:c r="M54" s="2"/>
    </x:row>
    <x:row r="55" ht="23" customHeight="1">
      <x:c r="C55" s="1" t="str">
        <x:v>2019-02-01</x:v>
      </x:c>
      <x:c r="D55" s="2" t="n">
        <x:v>10998.7</x:v>
      </x:c>
      <x:c r="E55" s="2" t="n">
        <x:v>9750</x:v>
      </x:c>
      <x:c r="F55" s="2" t="str">
        <x:v>https://assets.ctfassets.net/oe48y40ukei6/3PoDqcNZZLwAbKyUY7SAHs/92cfae474c77417dab687df16ed16f4e/annual_report_2019.pdf</x:v>
      </x:c>
      <x:c r="G55" s="2"/>
      <x:c r="H55" s="2"/>
      <x:c r="I55" s="2"/>
      <x:c r="J55" s="2"/>
      <x:c r="K55" s="2"/>
      <x:c r="L55" s="2"/>
      <x:c r="M55" s="2"/>
    </x:row>
    <x:row r="56" ht="23" customHeight="1">
      <x:c r="C56" s="1" t="str">
        <x:v>2019-03-01</x:v>
      </x:c>
      <x:c r="D56" s="2" t="n">
        <x:v>11245</x:v>
      </x:c>
      <x:c r="E56" s="2" t="n">
        <x:v>10150</x:v>
      </x:c>
      <x:c r="F56" s="2" t="str">
        <x:v>https://assets.ctfassets.net/oe48y40ukei6/3PoDqcNZZLwAbKyUY7SAHs/92cfae474c77417dab687df16ed16f4e/annual_report_2019.pdf</x:v>
      </x:c>
      <x:c r="G56" s="2"/>
      <x:c r="H56" s="2"/>
      <x:c r="I56" s="2"/>
      <x:c r="J56" s="2"/>
      <x:c r="K56" s="2"/>
      <x:c r="L56" s="2"/>
      <x:c r="M56" s="2"/>
    </x:row>
    <x:row r="57" ht="23" customHeight="1">
      <x:c r="C57" s="1" t="str">
        <x:v>2019-04-01</x:v>
      </x:c>
      <x:c r="D57" s="2" t="n">
        <x:v>10980</x:v>
      </x:c>
      <x:c r="E57" s="2" t="n">
        <x:v>9950</x:v>
      </x:c>
      <x:c r="F57" s="2" t="str">
        <x:v>https://assets.ctfassets.net/oe48y40ukei6/3PoDqcNZZLwAbKyUY7SAHs/92cfae474c77417dab687df16ed16f4e/annual_report_2019.pdf</x:v>
      </x:c>
      <x:c r="G57" s="2"/>
      <x:c r="H57" s="2"/>
      <x:c r="I57" s="2"/>
      <x:c r="J57" s="2"/>
      <x:c r="K57" s="2"/>
      <x:c r="L57" s="2"/>
      <x:c r="M57" s="2"/>
    </x:row>
    <x:row r="58" ht="23" customHeight="1">
      <x:c r="C58" s="1" t="str">
        <x:v>2019-05-01</x:v>
      </x:c>
      <x:c r="D58" s="2" t="n">
        <x:v>11190</x:v>
      </x:c>
      <x:c r="E58" s="2" t="n">
        <x:v>10136</x:v>
      </x:c>
      <x:c r="F58" s="2" t="str">
        <x:v>https://assets.ctfassets.net/oe48y40ukei6/3PoDqcNZZLwAbKyUY7SAHs/92cfae474c77417dab687df16ed16f4e/annual_report_2019.pdf</x:v>
      </x:c>
      <x:c r="G58" s="2"/>
      <x:c r="H58" s="2"/>
      <x:c r="I58" s="2"/>
      <x:c r="J58" s="2"/>
      <x:c r="K58" s="2"/>
      <x:c r="L58" s="2"/>
      <x:c r="M58" s="2"/>
    </x:row>
    <x:row r="59" ht="23" customHeight="1">
      <x:c r="C59" s="1" t="str">
        <x:v>2019-06-01</x:v>
      </x:c>
      <x:c r="D59" s="2" t="n">
        <x:v>11198</x:v>
      </x:c>
      <x:c r="E59" s="2" t="n">
        <x:v>10421</x:v>
      </x:c>
      <x:c r="F59" s="2" t="str">
        <x:v>https://assets.ctfassets.net/oe48y40ukei6/3PoDqcNZZLwAbKyUY7SAHs/92cfae474c77417dab687df16ed16f4e/annual_report_2019.pdf</x:v>
      </x:c>
      <x:c r="G59" s="2"/>
      <x:c r="H59" s="2"/>
      <x:c r="I59" s="2"/>
      <x:c r="J59" s="2"/>
      <x:c r="K59" s="2"/>
      <x:c r="L59" s="2"/>
      <x:c r="M59" s="2"/>
    </x:row>
    <x:row r="60" ht="23" customHeight="1">
      <x:c r="C60" s="1" t="str">
        <x:v>2019-07-01</x:v>
      </x:c>
      <x:c r="D60" s="2" t="n">
        <x:v>11162.65</x:v>
      </x:c>
      <x:c r="E60" s="2" t="n">
        <x:v>10358</x:v>
      </x:c>
      <x:c r="F60" s="2" t="str">
        <x:v>https://downloads.ctfassets.net/oe48y40ukei6/4zh7V0TXsjLDZUeZfAv0ZT/bb024760768f34fdbfe68da0bed6aa41/78106_PGHH_Annual_Report_2020_R12.pdf</x:v>
      </x:c>
      <x:c r="G60" s="2"/>
      <x:c r="H60" s="2"/>
      <x:c r="I60" s="2"/>
      <x:c r="J60" s="2"/>
      <x:c r="K60" s="2"/>
      <x:c r="L60" s="2"/>
      <x:c r="M60" s="2"/>
    </x:row>
    <x:row r="61" ht="23" customHeight="1">
      <x:c r="C61" s="1" t="str">
        <x:v>2019-08-01</x:v>
      </x:c>
      <x:c r="D61" s="2" t="n">
        <x:v>11150</x:v>
      </x:c>
      <x:c r="E61" s="2" t="n">
        <x:v>9725.1</x:v>
      </x:c>
      <x:c r="F61" s="2" t="str">
        <x:v>https://downloads.ctfassets.net/oe48y40ukei6/4zh7V0TXsjLDZUeZfAv0ZT/bb024760768f34fdbfe68da0bed6aa41/78106_PGHH_Annual_Report_2020_R12.pdf</x:v>
      </x:c>
      <x:c r="G61" s="2"/>
      <x:c r="H61" s="2"/>
      <x:c r="I61" s="2"/>
      <x:c r="J61" s="2"/>
      <x:c r="K61" s="2"/>
      <x:c r="L61" s="2"/>
      <x:c r="M61" s="2"/>
    </x:row>
    <x:row r="62" ht="23" customHeight="1">
      <x:c r="C62" s="1" t="str">
        <x:v>2019-09-01</x:v>
      </x:c>
      <x:c r="D62" s="2" t="n">
        <x:v>12399</x:v>
      </x:c>
      <x:c r="E62" s="2" t="n">
        <x:v>9942.75</x:v>
      </x:c>
      <x:c r="F62" s="2" t="str">
        <x:v>https://downloads.ctfassets.net/oe48y40ukei6/4zh7V0TXsjLDZUeZfAv0ZT/bb024760768f34fdbfe68da0bed6aa41/78106_PGHH_Annual_Report_2020_R12.pdf</x:v>
      </x:c>
      <x:c r="G62" s="2"/>
      <x:c r="H62" s="2"/>
      <x:c r="I62" s="2"/>
      <x:c r="J62" s="2"/>
      <x:c r="K62" s="2"/>
      <x:c r="L62" s="2"/>
      <x:c r="M62" s="2"/>
    </x:row>
    <x:row r="63" ht="23" customHeight="1">
      <x:c r="C63" s="1" t="str">
        <x:v>2019-10-01</x:v>
      </x:c>
      <x:c r="D63" s="2" t="n">
        <x:v>12774.9</x:v>
      </x:c>
      <x:c r="E63" s="2" t="n">
        <x:v>10830</x:v>
      </x:c>
      <x:c r="F63" s="2" t="str">
        <x:v>https://downloads.ctfassets.net/oe48y40ukei6/4zh7V0TXsjLDZUeZfAv0ZT/bb024760768f34fdbfe68da0bed6aa41/78106_PGHH_Annual_Report_2020_R12.pdf</x:v>
      </x:c>
      <x:c r="G63" s="2"/>
      <x:c r="H63" s="2"/>
      <x:c r="I63" s="2"/>
      <x:c r="J63" s="2"/>
      <x:c r="K63" s="2"/>
      <x:c r="L63" s="2"/>
      <x:c r="M63" s="2"/>
    </x:row>
    <x:row r="64" ht="23" customHeight="1">
      <x:c r="C64" s="1" t="str">
        <x:v>2019-11-01</x:v>
      </x:c>
      <x:c r="D64" s="2" t="n">
        <x:v>12388.9</x:v>
      </x:c>
      <x:c r="E64" s="2" t="n">
        <x:v>10760</x:v>
      </x:c>
      <x:c r="F64" s="2" t="str">
        <x:v>https://downloads.ctfassets.net/oe48y40ukei6/4zh7V0TXsjLDZUeZfAv0ZT/bb024760768f34fdbfe68da0bed6aa41/78106_PGHH_Annual_Report_2020_R12.pdf</x:v>
      </x:c>
      <x:c r="G64" s="2"/>
      <x:c r="H64" s="2"/>
      <x:c r="I64" s="2"/>
      <x:c r="J64" s="2"/>
      <x:c r="K64" s="2"/>
      <x:c r="L64" s="2"/>
      <x:c r="M64" s="2"/>
    </x:row>
    <x:row r="65" ht="23" customHeight="1">
      <x:c r="C65" s="1" t="str">
        <x:v>2019-12-01</x:v>
      </x:c>
      <x:c r="D65" s="2" t="n">
        <x:v>11800</x:v>
      </x:c>
      <x:c r="E65" s="2" t="n">
        <x:v>11162</x:v>
      </x:c>
      <x:c r="F65" s="2" t="str">
        <x:v>https://downloads.ctfassets.net/oe48y40ukei6/4zh7V0TXsjLDZUeZfAv0ZT/bb024760768f34fdbfe68da0bed6aa41/78106_PGHH_Annual_Report_2020_R12.pdf</x:v>
      </x:c>
      <x:c r="G65" s="2"/>
      <x:c r="H65" s="2"/>
      <x:c r="I65" s="2"/>
      <x:c r="J65" s="2"/>
      <x:c r="K65" s="2"/>
      <x:c r="L65" s="2"/>
      <x:c r="M65" s="2"/>
    </x:row>
    <x:row r="66" ht="23" customHeight="1">
      <x:c r="C66" s="1" t="str">
        <x:v>2020-01-01</x:v>
      </x:c>
      <x:c r="D66" s="2" t="n">
        <x:v>11490</x:v>
      </x:c>
      <x:c r="E66" s="2" t="n">
        <x:v>10739.4</x:v>
      </x:c>
      <x:c r="F66" s="2" t="str">
        <x:v>https://downloads.ctfassets.net/oe48y40ukei6/4zh7V0TXsjLDZUeZfAv0ZT/bb024760768f34fdbfe68da0bed6aa41/78106_PGHH_Annual_Report_2020_R12.pdf</x:v>
      </x:c>
      <x:c r="G66" s="2"/>
      <x:c r="H66" s="2"/>
      <x:c r="I66" s="2"/>
      <x:c r="J66" s="2"/>
      <x:c r="K66" s="2"/>
      <x:c r="L66" s="2"/>
      <x:c r="M66" s="2"/>
    </x:row>
    <x:row r="67" ht="23" customHeight="1">
      <x:c r="C67" s="1" t="str">
        <x:v>2020-02-01</x:v>
      </x:c>
      <x:c r="D67" s="2" t="n">
        <x:v>12388.8</x:v>
      </x:c>
      <x:c r="E67" s="2" t="n">
        <x:v>10950</x:v>
      </x:c>
      <x:c r="F67" s="2" t="str">
        <x:v>https://downloads.ctfassets.net/oe48y40ukei6/4zh7V0TXsjLDZUeZfAv0ZT/bb024760768f34fdbfe68da0bed6aa41/78106_PGHH_Annual_Report_2020_R12.pdf</x:v>
      </x:c>
      <x:c r="G67" s="2"/>
      <x:c r="H67" s="2"/>
      <x:c r="I67" s="2"/>
      <x:c r="J67" s="2"/>
      <x:c r="K67" s="2"/>
      <x:c r="L67" s="2"/>
      <x:c r="M67" s="2"/>
    </x:row>
    <x:row r="68" ht="23" customHeight="1">
      <x:c r="C68" s="1" t="str">
        <x:v>2020-03-01</x:v>
      </x:c>
      <x:c r="D68" s="2" t="n">
        <x:v>11184.15</x:v>
      </x:c>
      <x:c r="E68" s="2" t="n">
        <x:v>8400</x:v>
      </x:c>
      <x:c r="F68" s="2" t="str">
        <x:v>https://downloads.ctfassets.net/oe48y40ukei6/4zh7V0TXsjLDZUeZfAv0ZT/bb024760768f34fdbfe68da0bed6aa41/78106_PGHH_Annual_Report_2020_R12.pdf</x:v>
      </x:c>
      <x:c r="G68" s="2"/>
      <x:c r="H68" s="2"/>
      <x:c r="I68" s="2"/>
      <x:c r="J68" s="2"/>
      <x:c r="K68" s="2"/>
      <x:c r="L68" s="2"/>
      <x:c r="M68" s="2"/>
    </x:row>
    <x:row r="69" ht="23" customHeight="1">
      <x:c r="C69" s="1" t="str">
        <x:v>2020-04-01</x:v>
      </x:c>
      <x:c r="D69" s="2" t="n">
        <x:v>11580</x:v>
      </x:c>
      <x:c r="E69" s="2" t="n">
        <x:v>9990.05</x:v>
      </x:c>
      <x:c r="F69" s="2" t="str">
        <x:v>https://downloads.ctfassets.net/oe48y40ukei6/4zh7V0TXsjLDZUeZfAv0ZT/bb024760768f34fdbfe68da0bed6aa41/78106_PGHH_Annual_Report_2020_R12.pdf</x:v>
      </x:c>
      <x:c r="G69" s="2"/>
      <x:c r="H69" s="2"/>
      <x:c r="I69" s="2"/>
      <x:c r="J69" s="2"/>
      <x:c r="K69" s="2"/>
      <x:c r="L69" s="2"/>
      <x:c r="M69" s="2"/>
    </x:row>
    <x:row r="70" ht="23" customHeight="1">
      <x:c r="C70" s="1" t="str">
        <x:v>2020-05-01</x:v>
      </x:c>
      <x:c r="D70" s="2" t="n">
        <x:v>10650</x:v>
      </x:c>
      <x:c r="E70" s="2" t="n">
        <x:v>9734</x:v>
      </x:c>
      <x:c r="F70" s="2" t="str">
        <x:v>https://downloads.ctfassets.net/oe48y40ukei6/4zh7V0TXsjLDZUeZfAv0ZT/bb024760768f34fdbfe68da0bed6aa41/78106_PGHH_Annual_Report_2020_R12.pdf</x:v>
      </x:c>
      <x:c r="G70" s="2"/>
      <x:c r="H70" s="2"/>
      <x:c r="I70" s="2"/>
      <x:c r="J70" s="2"/>
      <x:c r="K70" s="2"/>
      <x:c r="L70" s="2"/>
      <x:c r="M70" s="2"/>
    </x:row>
    <x:row r="71" ht="23" customHeight="1">
      <x:c r="C71" s="1" t="str">
        <x:v>2020-06-01</x:v>
      </x:c>
      <x:c r="D71" s="2" t="n">
        <x:v>10239.9</x:v>
      </x:c>
      <x:c r="E71" s="2" t="n">
        <x:v>9773.95</x:v>
      </x:c>
      <x:c r="F71" s="2" t="str">
        <x:v>https://downloads.ctfassets.net/oe48y40ukei6/4zh7V0TXsjLDZUeZfAv0ZT/bb024760768f34fdbfe68da0bed6aa41/78106_PGHH_Annual_Report_2020_R12.pdf</x:v>
      </x:c>
      <x:c r="G71" s="2"/>
      <x:c r="H71" s="2"/>
      <x:c r="I71" s="2"/>
      <x:c r="J71" s="2"/>
      <x:c r="K71" s="2"/>
      <x:c r="L71" s="2"/>
      <x:c r="M71" s="2"/>
    </x:row>
    <x:row r="72" ht="23" customHeight="1">
      <x:c r="C72" s="1" t="str">
        <x:v>2020-07-01</x:v>
      </x:c>
      <x:c r="D72" s="2" t="n">
        <x:v>11352.75</x:v>
      </x:c>
      <x:c r="E72" s="2" t="n">
        <x:v>10016</x:v>
      </x:c>
      <x:c r="F72" s="2" t="str">
        <x:v>https://assets.ctfassets.net/oe48y40ukei6/6OkhPEeM0qSorBeuAVj8V1/8749e02c48a631e8b335df74389e5178/ANNUAL_REPORT_2021.pdf</x:v>
      </x:c>
      <x:c r="G72" s="2"/>
      <x:c r="H72" s="2"/>
      <x:c r="I72" s="2"/>
      <x:c r="J72" s="2"/>
      <x:c r="K72" s="2"/>
      <x:c r="L72" s="2"/>
      <x:c r="M72" s="2"/>
    </x:row>
    <x:row r="73" ht="23" customHeight="1">
      <x:c r="C73" s="1" t="str">
        <x:v>2020-08-01</x:v>
      </x:c>
      <x:c r="D73" s="2" t="n">
        <x:v>10707.1</x:v>
      </x:c>
      <x:c r="E73" s="2" t="n">
        <x:v>9925</x:v>
      </x:c>
      <x:c r="F73" s="2" t="str">
        <x:v>https://assets.ctfassets.net/oe48y40ukei6/6OkhPEeM0qSorBeuAVj8V1/8749e02c48a631e8b335df74389e5178/ANNUAL_REPORT_2021.pdf</x:v>
      </x:c>
      <x:c r="G73" s="2"/>
      <x:c r="H73" s="2"/>
      <x:c r="I73" s="2"/>
      <x:c r="J73" s="2"/>
      <x:c r="K73" s="2"/>
      <x:c r="L73" s="2"/>
      <x:c r="M73" s="2"/>
    </x:row>
    <x:row r="74" ht="23" customHeight="1">
      <x:c r="C74" s="1" t="str">
        <x:v>2020-09-01</x:v>
      </x:c>
      <x:c r="D74" s="2" t="n">
        <x:v>10250</x:v>
      </x:c>
      <x:c r="E74" s="2" t="n">
        <x:v>9691.4</x:v>
      </x:c>
      <x:c r="F74" s="2" t="str">
        <x:v>https://assets.ctfassets.net/oe48y40ukei6/6OkhPEeM0qSorBeuAVj8V1/8749e02c48a631e8b335df74389e5178/ANNUAL_REPORT_2021.pdf</x:v>
      </x:c>
      <x:c r="G74" s="2"/>
      <x:c r="H74" s="2"/>
      <x:c r="I74" s="2"/>
      <x:c r="J74" s="2"/>
      <x:c r="K74" s="2"/>
      <x:c r="L74" s="2"/>
      <x:c r="M74" s="2"/>
    </x:row>
    <x:row r="75" ht="23" customHeight="1">
      <x:c r="C75" s="1" t="str">
        <x:v>2020-10-01</x:v>
      </x:c>
      <x:c r="D75" s="2" t="n">
        <x:v>10460</x:v>
      </x:c>
      <x:c r="E75" s="2" t="n">
        <x:v>9780.55</x:v>
      </x:c>
      <x:c r="F75" s="2" t="str">
        <x:v>https://assets.ctfassets.net/oe48y40ukei6/6OkhPEeM0qSorBeuAVj8V1/8749e02c48a631e8b335df74389e5178/ANNUAL_REPORT_2021.pdf</x:v>
      </x:c>
      <x:c r="G75" s="2"/>
      <x:c r="H75" s="2"/>
      <x:c r="I75" s="2"/>
      <x:c r="J75" s="2"/>
      <x:c r="K75" s="2"/>
      <x:c r="L75" s="2"/>
      <x:c r="M75" s="2"/>
    </x:row>
    <x:row r="76" ht="23" customHeight="1">
      <x:c r="C76" s="1" t="str">
        <x:v>2020-11-01</x:v>
      </x:c>
      <x:c r="D76" s="2" t="n">
        <x:v>11716</x:v>
      </x:c>
      <x:c r="E76" s="2" t="n">
        <x:v>9981</x:v>
      </x:c>
      <x:c r="F76" s="2" t="str">
        <x:v>https://assets.ctfassets.net/oe48y40ukei6/6OkhPEeM0qSorBeuAVj8V1/8749e02c48a631e8b335df74389e5178/ANNUAL_REPORT_2021.pdf</x:v>
      </x:c>
      <x:c r="G76" s="2"/>
      <x:c r="H76" s="2"/>
      <x:c r="I76" s="2"/>
      <x:c r="J76" s="2"/>
      <x:c r="K76" s="2"/>
      <x:c r="L76" s="2"/>
      <x:c r="M76" s="2"/>
    </x:row>
    <x:row r="77" ht="23" customHeight="1">
      <x:c r="C77" s="1" t="str">
        <x:v>2020-12-01</x:v>
      </x:c>
      <x:c r="D77" s="2" t="n">
        <x:v>11900</x:v>
      </x:c>
      <x:c r="E77" s="2" t="n">
        <x:v>10490.35</x:v>
      </x:c>
      <x:c r="F77" s="2" t="str">
        <x:v>https://assets.ctfassets.net/oe48y40ukei6/6OkhPEeM0qSorBeuAVj8V1/8749e02c48a631e8b335df74389e5178/ANNUAL_REPORT_2021.pdf</x:v>
      </x:c>
      <x:c r="G77" s="2"/>
      <x:c r="H77" s="2"/>
      <x:c r="I77" s="2"/>
      <x:c r="J77" s="2"/>
      <x:c r="K77" s="2"/>
      <x:c r="L77" s="2"/>
      <x:c r="M77" s="2"/>
    </x:row>
    <x:row r="78" ht="23" customHeight="1">
      <x:c r="C78" s="1" t="str">
        <x:v>2021-01-01</x:v>
      </x:c>
      <x:c r="D78" s="2" t="n">
        <x:v>11484.9</x:v>
      </x:c>
      <x:c r="E78" s="2" t="n">
        <x:v>10950</x:v>
      </x:c>
      <x:c r="F78" s="2" t="str">
        <x:v>https://assets.ctfassets.net/oe48y40ukei6/6OkhPEeM0qSorBeuAVj8V1/8749e02c48a631e8b335df74389e5178/ANNUAL_REPORT_2021.pdf</x:v>
      </x:c>
      <x:c r="G78" s="2"/>
      <x:c r="H78" s="2"/>
      <x:c r="I78" s="2"/>
      <x:c r="J78" s="2"/>
      <x:c r="K78" s="2"/>
      <x:c r="L78" s="2"/>
      <x:c r="M78" s="2"/>
    </x:row>
    <x:row r="79" ht="23" customHeight="1">
      <x:c r="C79" s="1" t="str">
        <x:v>2021-02-01</x:v>
      </x:c>
      <x:c r="D79" s="2" t="n">
        <x:v>13800</x:v>
      </x:c>
      <x:c r="E79" s="2" t="n">
        <x:v>11100</x:v>
      </x:c>
      <x:c r="F79" s="2" t="str">
        <x:v>https://assets.ctfassets.net/oe48y40ukei6/6OkhPEeM0qSorBeuAVj8V1/8749e02c48a631e8b335df74389e5178/ANNUAL_REPORT_2021.pdf</x:v>
      </x:c>
      <x:c r="G79" s="2"/>
      <x:c r="H79" s="2"/>
      <x:c r="I79" s="2"/>
      <x:c r="J79" s="2"/>
      <x:c r="K79" s="2"/>
      <x:c r="L79" s="2"/>
      <x:c r="M79" s="2"/>
    </x:row>
    <x:row r="80" ht="23" customHeight="1">
      <x:c r="C80" s="1" t="str">
        <x:v>2021-03-01</x:v>
      </x:c>
      <x:c r="D80" s="2" t="n">
        <x:v>13190</x:v>
      </x:c>
      <x:c r="E80" s="2" t="n">
        <x:v>12110</x:v>
      </x:c>
      <x:c r="F80" s="2" t="str">
        <x:v>https://assets.ctfassets.net/oe48y40ukei6/6OkhPEeM0qSorBeuAVj8V1/8749e02c48a631e8b335df74389e5178/ANNUAL_REPORT_2021.pdf</x:v>
      </x:c>
      <x:c r="G80" s="2"/>
      <x:c r="H80" s="2"/>
      <x:c r="I80" s="2"/>
      <x:c r="J80" s="2"/>
      <x:c r="K80" s="2"/>
      <x:c r="L80" s="2"/>
      <x:c r="M80" s="2"/>
    </x:row>
    <x:row r="81" ht="23" customHeight="1">
      <x:c r="C81" s="1" t="str">
        <x:v>2021-04-01</x:v>
      </x:c>
      <x:c r="D81" s="2" t="n">
        <x:v>14122</x:v>
      </x:c>
      <x:c r="E81" s="2" t="n">
        <x:v>12251.25</x:v>
      </x:c>
      <x:c r="F81" s="2" t="str">
        <x:v>https://assets.ctfassets.net/oe48y40ukei6/6OkhPEeM0qSorBeuAVj8V1/8749e02c48a631e8b335df74389e5178/ANNUAL_REPORT_2021.pdf</x:v>
      </x:c>
      <x:c r="G81" s="2"/>
      <x:c r="H81" s="2"/>
      <x:c r="I81" s="2"/>
      <x:c r="J81" s="2"/>
      <x:c r="K81" s="2"/>
      <x:c r="L81" s="2"/>
      <x:c r="M81" s="2"/>
    </x:row>
    <x:row r="82" ht="23" customHeight="1">
      <x:c r="C82" s="1" t="str">
        <x:v>2021-05-01</x:v>
      </x:c>
      <x:c r="D82" s="2" t="n">
        <x:v>13899</x:v>
      </x:c>
      <x:c r="E82" s="2" t="n">
        <x:v>13001</x:v>
      </x:c>
      <x:c r="F82" s="2" t="str">
        <x:v>https://assets.ctfassets.net/oe48y40ukei6/6OkhPEeM0qSorBeuAVj8V1/8749e02c48a631e8b335df74389e5178/ANNUAL_REPORT_2021.pdf</x:v>
      </x:c>
      <x:c r="G82" s="2"/>
      <x:c r="H82" s="2"/>
      <x:c r="I82" s="2"/>
      <x:c r="J82" s="2"/>
      <x:c r="K82" s="2"/>
      <x:c r="L82" s="2"/>
      <x:c r="M82" s="2"/>
    </x:row>
    <x:row r="83" ht="23" customHeight="1">
      <x:c r="C83" s="1" t="str">
        <x:v>2021-06-01</x:v>
      </x:c>
      <x:c r="D83" s="2" t="n">
        <x:v>14135.65</x:v>
      </x:c>
      <x:c r="E83" s="2" t="n">
        <x:v>12775</x:v>
      </x:c>
      <x:c r="F83" s="2" t="str">
        <x:v>https://assets.ctfassets.net/oe48y40ukei6/6OkhPEeM0qSorBeuAVj8V1/8749e02c48a631e8b335df74389e5178/ANNUAL_REPORT_2021.pdf</x:v>
      </x:c>
      <x:c r="G83" s="2"/>
      <x:c r="H83" s="2"/>
      <x:c r="I83" s="2"/>
      <x:c r="J83" s="2"/>
      <x:c r="K83" s="2"/>
      <x:c r="L83" s="2"/>
      <x:c r="M83" s="2"/>
    </x:row>
    <x:row r="84" ht="23" customHeight="1">
      <x:c r="C84" s="1" t="str">
        <x:v>2021-07-01</x:v>
      </x:c>
      <x:c r="D84" s="2" t="n">
        <x:v>13700</x:v>
      </x:c>
      <x:c r="E84" s="2" t="n">
        <x:v>12655</x:v>
      </x:c>
      <x:c r="F84" s="2" t="str">
        <x:v>https://www.bseindia.com/xml-data/corpfiling/AttachHis/c0dfdeaf-249c-4a36-974c-c42246b33727.pdf</x:v>
      </x:c>
      <x:c r="G84" s="2"/>
      <x:c r="H84" s="2"/>
      <x:c r="I84" s="2"/>
      <x:c r="J84" s="2"/>
      <x:c r="K84" s="2"/>
      <x:c r="L84" s="2"/>
      <x:c r="M84" s="2"/>
    </x:row>
    <x:row r="85" ht="23" customHeight="1">
      <x:c r="C85" s="1" t="str">
        <x:v>2021-08-01</x:v>
      </x:c>
      <x:c r="D85" s="2" t="n">
        <x:v>14087.9</x:v>
      </x:c>
      <x:c r="E85" s="2" t="n">
        <x:v>12310.1</x:v>
      </x:c>
      <x:c r="F85" s="2" t="str">
        <x:v>https://www.bseindia.com/xml-data/corpfiling/AttachHis/c0dfdeaf-249c-4a36-974c-c42246b33727.pdf</x:v>
      </x:c>
      <x:c r="G85" s="2"/>
      <x:c r="H85" s="2"/>
      <x:c r="I85" s="2"/>
      <x:c r="J85" s="2"/>
      <x:c r="K85" s="2"/>
      <x:c r="L85" s="2"/>
      <x:c r="M85" s="2"/>
    </x:row>
    <x:row r="86" ht="23" customHeight="1">
      <x:c r="C86" s="1" t="str">
        <x:v>2021-09-01</x:v>
      </x:c>
      <x:c r="D86" s="2" t="n">
        <x:v>14590.45</x:v>
      </x:c>
      <x:c r="E86" s="2" t="n">
        <x:v>13480</x:v>
      </x:c>
      <x:c r="F86" s="2" t="str">
        <x:v>https://www.bseindia.com/xml-data/corpfiling/AttachHis/c0dfdeaf-249c-4a36-974c-c42246b33727.pdf</x:v>
      </x:c>
      <x:c r="G86" s="2"/>
      <x:c r="H86" s="2"/>
      <x:c r="I86" s="2"/>
      <x:c r="J86" s="2"/>
      <x:c r="K86" s="2"/>
      <x:c r="L86" s="2"/>
      <x:c r="M86" s="2"/>
    </x:row>
    <x:row r="87" ht="23" customHeight="1">
      <x:c r="C87" s="1" t="str">
        <x:v>2021-10-01</x:v>
      </x:c>
      <x:c r="D87" s="2" t="n">
        <x:v>14824</x:v>
      </x:c>
      <x:c r="E87" s="2" t="n">
        <x:v>13561.95</x:v>
      </x:c>
      <x:c r="F87" s="2" t="str">
        <x:v>https://www.bseindia.com/xml-data/corpfiling/AttachHis/c0dfdeaf-249c-4a36-974c-c42246b33727.pdf</x:v>
      </x:c>
      <x:c r="G87" s="2"/>
      <x:c r="H87" s="2"/>
      <x:c r="I87" s="2"/>
      <x:c r="J87" s="2"/>
      <x:c r="K87" s="2"/>
      <x:c r="L87" s="2"/>
      <x:c r="M87" s="2"/>
    </x:row>
    <x:row r="88" ht="23" customHeight="1">
      <x:c r="C88" s="1" t="str">
        <x:v>2021-11-01</x:v>
      </x:c>
      <x:c r="D88" s="2" t="n">
        <x:v>15530.55</x:v>
      </x:c>
      <x:c r="E88" s="2" t="n">
        <x:v>14080.1</x:v>
      </x:c>
      <x:c r="F88" s="2" t="str">
        <x:v>https://www.bseindia.com/xml-data/corpfiling/AttachHis/c0dfdeaf-249c-4a36-974c-c42246b33727.pdf</x:v>
      </x:c>
      <x:c r="G88" s="2"/>
      <x:c r="H88" s="2"/>
      <x:c r="I88" s="2"/>
      <x:c r="J88" s="2"/>
      <x:c r="K88" s="2"/>
      <x:c r="L88" s="2"/>
      <x:c r="M88" s="2"/>
    </x:row>
    <x:row r="89" ht="23" customHeight="1">
      <x:c r="C89" s="1" t="str">
        <x:v>2021-12-01</x:v>
      </x:c>
      <x:c r="D89" s="2" t="n">
        <x:v>16314.3</x:v>
      </x:c>
      <x:c r="E89" s="2" t="n">
        <x:v>14137.8</x:v>
      </x:c>
      <x:c r="F89" s="2" t="str">
        <x:v>https://www.bseindia.com/xml-data/corpfiling/AttachHis/c0dfdeaf-249c-4a36-974c-c42246b33727.pdf</x:v>
      </x:c>
      <x:c r="G89" s="2"/>
      <x:c r="H89" s="2"/>
      <x:c r="I89" s="2"/>
      <x:c r="J89" s="2"/>
      <x:c r="K89" s="2"/>
      <x:c r="L89" s="2"/>
      <x:c r="M89" s="2"/>
    </x:row>
    <x:row r="90" ht="23" customHeight="1">
      <x:c r="C90" s="1" t="str">
        <x:v>2022-01-01</x:v>
      </x:c>
      <x:c r="D90" s="2" t="n">
        <x:v>16448.7</x:v>
      </x:c>
      <x:c r="E90" s="2" t="n">
        <x:v>14380.05</x:v>
      </x:c>
      <x:c r="F90" s="2" t="str">
        <x:v>https://www.bseindia.com/xml-data/corpfiling/AttachHis/c0dfdeaf-249c-4a36-974c-c42246b33727.pdf</x:v>
      </x:c>
      <x:c r="G90" s="2"/>
      <x:c r="H90" s="2"/>
      <x:c r="I90" s="2"/>
      <x:c r="J90" s="2"/>
      <x:c r="K90" s="2"/>
      <x:c r="L90" s="2"/>
      <x:c r="M90" s="2"/>
    </x:row>
    <x:row r="91" ht="23" customHeight="1">
      <x:c r="C91" s="1" t="str">
        <x:v>2022-02-01</x:v>
      </x:c>
      <x:c r="D91" s="2" t="n">
        <x:v>15849.8</x:v>
      </x:c>
      <x:c r="E91" s="2" t="n">
        <x:v>14630.15</x:v>
      </x:c>
      <x:c r="F91" s="2" t="str">
        <x:v>https://www.bseindia.com/xml-data/corpfiling/AttachHis/c0dfdeaf-249c-4a36-974c-c42246b33727.pdf</x:v>
      </x:c>
      <x:c r="G91" s="2"/>
      <x:c r="H91" s="2"/>
      <x:c r="I91" s="2"/>
      <x:c r="J91" s="2"/>
      <x:c r="K91" s="2"/>
      <x:c r="L91" s="2"/>
      <x:c r="M91" s="2"/>
    </x:row>
    <x:row r="92" ht="23" customHeight="1">
      <x:c r="C92" s="1" t="str">
        <x:v>2022-03-01</x:v>
      </x:c>
      <x:c r="D92" s="2" t="n">
        <x:v>15800</x:v>
      </x:c>
      <x:c r="E92" s="2" t="n">
        <x:v>13700</x:v>
      </x:c>
      <x:c r="F92" s="2" t="str">
        <x:v>https://www.bseindia.com/xml-data/corpfiling/AttachHis/c0dfdeaf-249c-4a36-974c-c42246b33727.pdf</x:v>
      </x:c>
      <x:c r="G92" s="2"/>
      <x:c r="H92" s="2"/>
      <x:c r="I92" s="2"/>
      <x:c r="J92" s="2"/>
      <x:c r="K92" s="2"/>
      <x:c r="L92" s="2"/>
      <x:c r="M92" s="2"/>
    </x:row>
    <x:row r="93" ht="23" customHeight="1">
      <x:c r="C93" s="1" t="str">
        <x:v>2022-04-01</x:v>
      </x:c>
      <x:c r="D93" s="2" t="n">
        <x:v>14843.8</x:v>
      </x:c>
      <x:c r="E93" s="2" t="n">
        <x:v>13628</x:v>
      </x:c>
      <x:c r="F93" s="2" t="str">
        <x:v>https://www.bseindia.com/xml-data/corpfiling/AttachHis/c0dfdeaf-249c-4a36-974c-c42246b33727.pdf</x:v>
      </x:c>
      <x:c r="G93" s="2"/>
      <x:c r="H93" s="2"/>
      <x:c r="I93" s="2"/>
      <x:c r="J93" s="2"/>
      <x:c r="K93" s="2"/>
      <x:c r="L93" s="2"/>
      <x:c r="M93" s="2"/>
    </x:row>
    <x:row r="94" ht="23" customHeight="1">
      <x:c r="C94" s="1" t="str">
        <x:v>2022-05-01</x:v>
      </x:c>
      <x:c r="D94" s="2" t="n">
        <x:v>14228</x:v>
      </x:c>
      <x:c r="E94" s="2" t="n">
        <x:v>12801</x:v>
      </x:c>
      <x:c r="F94" s="2" t="str">
        <x:v>https://www.bseindia.com/xml-data/corpfiling/AttachHis/c0dfdeaf-249c-4a36-974c-c42246b33727.pdf</x:v>
      </x:c>
      <x:c r="G94" s="2"/>
      <x:c r="H94" s="2"/>
      <x:c r="I94" s="2"/>
      <x:c r="J94" s="2"/>
      <x:c r="K94" s="2"/>
      <x:c r="L94" s="2"/>
      <x:c r="M94" s="2"/>
    </x:row>
    <x:row r="95" ht="23" customHeight="1">
      <x:c r="C95" s="1" t="str">
        <x:v>2022-06-01</x:v>
      </x:c>
      <x:c r="D95" s="2" t="n">
        <x:v>14485</x:v>
      </x:c>
      <x:c r="E95" s="2" t="n">
        <x:v>13082</x:v>
      </x:c>
      <x:c r="F95" s="2" t="str">
        <x:v>https://www.bseindia.com/xml-data/corpfiling/AttachHis/c0dfdeaf-249c-4a36-974c-c42246b33727.pdf</x:v>
      </x:c>
      <x:c r="G95" s="2"/>
      <x:c r="H95" s="2"/>
      <x:c r="I95" s="2"/>
      <x:c r="J95" s="2"/>
      <x:c r="K95" s="2"/>
      <x:c r="L95" s="2"/>
      <x:c r="M95" s="2"/>
    </x:row>
    <x:row r="96" ht="23" customHeight="1">
      <x:c r="C96" s="1" t="str">
        <x:v>2022-07-01</x:v>
      </x:c>
      <x:c r="D96" s="2" t="n">
        <x:v>14600</x:v>
      </x:c>
      <x:c r="E96" s="2" t="n">
        <x:v>13224.6</x:v>
      </x:c>
      <x:c r="F96" s="2" t="str">
        <x:v>https://www.bseindia.com/xml-data/corpfiling/AttachHis/f07bd3ab-a134-4666-afde-a62a05b1301c.pdf</x:v>
      </x:c>
      <x:c r="G96" s="2"/>
      <x:c r="H96" s="2"/>
      <x:c r="I96" s="2"/>
      <x:c r="J96" s="2"/>
      <x:c r="K96" s="2"/>
      <x:c r="L96" s="2"/>
      <x:c r="M96" s="2"/>
    </x:row>
    <x:row r="97" ht="23" customHeight="1">
      <x:c r="C97" s="1" t="str">
        <x:v>2022-08-01</x:v>
      </x:c>
      <x:c r="D97" s="2" t="n">
        <x:v>15500</x:v>
      </x:c>
      <x:c r="E97" s="2" t="n">
        <x:v>13750</x:v>
      </x:c>
      <x:c r="F97" s="2" t="str">
        <x:v>https://www.bseindia.com/xml-data/corpfiling/AttachHis/f07bd3ab-a134-4666-afde-a62a05b1301c.pdf</x:v>
      </x:c>
      <x:c r="G97" s="2"/>
      <x:c r="H97" s="2"/>
      <x:c r="I97" s="2"/>
      <x:c r="J97" s="2"/>
      <x:c r="K97" s="2"/>
      <x:c r="L97" s="2"/>
      <x:c r="M97" s="2"/>
    </x:row>
    <x:row r="98" ht="23" customHeight="1">
      <x:c r="C98" s="1" t="str">
        <x:v>2022-09-01</x:v>
      </x:c>
      <x:c r="D98" s="2" t="n">
        <x:v>14954.75</x:v>
      </x:c>
      <x:c r="E98" s="2" t="n">
        <x:v>13500</x:v>
      </x:c>
      <x:c r="F98" s="2" t="str">
        <x:v>https://www.bseindia.com/xml-data/corpfiling/AttachHis/f07bd3ab-a134-4666-afde-a62a05b1301c.pdf</x:v>
      </x:c>
      <x:c r="G98" s="2"/>
      <x:c r="H98" s="2"/>
      <x:c r="I98" s="2"/>
      <x:c r="J98" s="2"/>
      <x:c r="K98" s="2"/>
      <x:c r="L98" s="2"/>
      <x:c r="M98" s="2"/>
    </x:row>
    <x:row r="99" ht="23" customHeight="1">
      <x:c r="C99" s="1" t="str">
        <x:v>2022-10-01</x:v>
      </x:c>
      <x:c r="D99" s="2" t="n">
        <x:v>14278</x:v>
      </x:c>
      <x:c r="E99" s="2" t="n">
        <x:v>13741.55</x:v>
      </x:c>
      <x:c r="F99" s="2" t="str">
        <x:v>https://www.bseindia.com/xml-data/corpfiling/AttachHis/f07bd3ab-a134-4666-afde-a62a05b1301c.pdf</x:v>
      </x:c>
      <x:c r="G99" s="2"/>
      <x:c r="H99" s="2"/>
      <x:c r="I99" s="2"/>
      <x:c r="J99" s="2"/>
      <x:c r="K99" s="2"/>
      <x:c r="L99" s="2"/>
      <x:c r="M99" s="2"/>
    </x:row>
    <x:row r="100" ht="23" customHeight="1">
      <x:c r="C100" s="1" t="str">
        <x:v>2022-11-01</x:v>
      </x:c>
      <x:c r="D100" s="2" t="n">
        <x:v>14279.8</x:v>
      </x:c>
      <x:c r="E100" s="2" t="n">
        <x:v>13718.05</x:v>
      </x:c>
      <x:c r="F100" s="2" t="str">
        <x:v>https://www.bseindia.com/xml-data/corpfiling/AttachHis/f07bd3ab-a134-4666-afde-a62a05b1301c.pdf</x:v>
      </x:c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 t="str">
        <x:v>2022-12-01</x:v>
      </x:c>
      <x:c r="D101" s="2" t="n">
        <x:v>14688.95</x:v>
      </x:c>
      <x:c r="E101" s="2" t="n">
        <x:v>13710</x:v>
      </x:c>
      <x:c r="F101" s="2" t="str">
        <x:v>https://www.bseindia.com/xml-data/corpfiling/AttachHis/f07bd3ab-a134-4666-afde-a62a05b1301c.pdf</x:v>
      </x:c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 t="str">
        <x:v>2023-01-01</x:v>
      </x:c>
      <x:c r="D102" s="2" t="n">
        <x:v>14534.7</x:v>
      </x:c>
      <x:c r="E102" s="2" t="n">
        <x:v>13397.65</x:v>
      </x:c>
      <x:c r="F102" s="2" t="str">
        <x:v>https://www.bseindia.com/xml-data/corpfiling/AttachHis/f07bd3ab-a134-4666-afde-a62a05b1301c.pdf</x:v>
      </x:c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 t="str">
        <x:v>2023-02-01</x:v>
      </x:c>
      <x:c r="D103" s="2" t="n">
        <x:v>14379.65</x:v>
      </x:c>
      <x:c r="E103" s="2" t="n">
        <x:v>13400</x:v>
      </x:c>
      <x:c r="F103" s="2" t="str">
        <x:v>https://www.bseindia.com/xml-data/corpfiling/AttachHis/f07bd3ab-a134-4666-afde-a62a05b1301c.pdf</x:v>
      </x:c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 t="str">
        <x:v>2023-03-01</x:v>
      </x:c>
      <x:c r="D104" s="2" t="n">
        <x:v>14160</x:v>
      </x:c>
      <x:c r="E104" s="2" t="n">
        <x:v>13140.1</x:v>
      </x:c>
      <x:c r="F104" s="2" t="str">
        <x:v>https://www.bseindia.com/xml-data/corpfiling/AttachHis/f07bd3ab-a134-4666-afde-a62a05b1301c.pdf</x:v>
      </x:c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 t="str">
        <x:v>2023-04-01</x:v>
      </x:c>
      <x:c r="D105" s="2" t="n">
        <x:v>14371.7</x:v>
      </x:c>
      <x:c r="E105" s="2" t="n">
        <x:v>13190.55</x:v>
      </x:c>
      <x:c r="F105" s="2" t="str">
        <x:v>https://www.bseindia.com/xml-data/corpfiling/AttachHis/f07bd3ab-a134-4666-afde-a62a05b1301c.pdf</x:v>
      </x:c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 t="str">
        <x:v>2023-05-01</x:v>
      </x:c>
      <x:c r="D106" s="2" t="n">
        <x:v>14138.9</x:v>
      </x:c>
      <x:c r="E106" s="2" t="n">
        <x:v>13362</x:v>
      </x:c>
      <x:c r="F106" s="2" t="str">
        <x:v>https://www.bseindia.com/xml-data/corpfiling/AttachHis/f07bd3ab-a134-4666-afde-a62a05b1301c.pdf</x:v>
      </x:c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 t="str">
        <x:v>2023-06-01</x:v>
      </x:c>
      <x:c r="D107" s="2" t="n">
        <x:v>14580</x:v>
      </x:c>
      <x:c r="E107" s="2" t="n">
        <x:v>13527.05</x:v>
      </x:c>
      <x:c r="F107" s="2" t="str">
        <x:v>https://www.bseindia.com/xml-data/corpfiling/AttachHis/f07bd3ab-a134-4666-afde-a62a05b1301c.pdf</x:v>
      </x:c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 t="str">
        <x:v>2023-07-01</x:v>
      </x:c>
      <x:c r="D108" s="2" t="n">
        <x:v>16100</x:v>
      </x:c>
      <x:c r="E108" s="2" t="n">
        <x:v>14200</x:v>
      </x:c>
      <x:c r="F108" s="2" t="str">
        <x:v>https://assets.ctfassets.net/oe48y40ukei6/7aXOHTgxcGULOBM2hYlblW/6ef76eff5f3da3ecad126944fbaf3391/PGHH_ANNUAL_REPORT_2024.pdf</x:v>
      </x:c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 t="str">
        <x:v>2023-08-01</x:v>
      </x:c>
      <x:c r="D109" s="2" t="n">
        <x:v>16600</x:v>
      </x:c>
      <x:c r="E109" s="2" t="n">
        <x:v>15155.55</x:v>
      </x:c>
      <x:c r="F109" s="2" t="str">
        <x:v>https://assets.ctfassets.net/oe48y40ukei6/7aXOHTgxcGULOBM2hYlblW/6ef76eff5f3da3ecad126944fbaf3391/PGHH_ANNUAL_REPORT_2024.pdf</x:v>
      </x:c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 t="str">
        <x:v>2023-09-01</x:v>
      </x:c>
      <x:c r="D110" s="2" t="n">
        <x:v>18597.95</x:v>
      </x:c>
      <x:c r="E110" s="2" t="n">
        <x:v>15823.8</x:v>
      </x:c>
      <x:c r="F110" s="2" t="str">
        <x:v>https://assets.ctfassets.net/oe48y40ukei6/7aXOHTgxcGULOBM2hYlblW/6ef76eff5f3da3ecad126944fbaf3391/PGHH_ANNUAL_REPORT_2024.pdf</x:v>
      </x:c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 t="str">
        <x:v>2023-10-01</x:v>
      </x:c>
      <x:c r="D111" s="2" t="n">
        <x:v>18125.75</x:v>
      </x:c>
      <x:c r="E111" s="2" t="n">
        <x:v>16625.2</x:v>
      </x:c>
      <x:c r="F111" s="2" t="str">
        <x:v>https://assets.ctfassets.net/oe48y40ukei6/7aXOHTgxcGULOBM2hYlblW/6ef76eff5f3da3ecad126944fbaf3391/PGHH_ANNUAL_REPORT_2024.pdf</x:v>
      </x:c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 t="str">
        <x:v>2023-11-01</x:v>
      </x:c>
      <x:c r="D112" s="2" t="n">
        <x:v>19250</x:v>
      </x:c>
      <x:c r="E112" s="2" t="n">
        <x:v>16800</x:v>
      </x:c>
      <x:c r="F112" s="2" t="str">
        <x:v>https://assets.ctfassets.net/oe48y40ukei6/7aXOHTgxcGULOBM2hYlblW/6ef76eff5f3da3ecad126944fbaf3391/PGHH_ANNUAL_REPORT_2024.pdf</x:v>
      </x:c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 t="str">
        <x:v>2023-12-01</x:v>
      </x:c>
      <x:c r="D113" s="2" t="n">
        <x:v>17659</x:v>
      </x:c>
      <x:c r="E113" s="2" t="n">
        <x:v>16675</x:v>
      </x:c>
      <x:c r="F113" s="2" t="str">
        <x:v>https://assets.ctfassets.net/oe48y40ukei6/7aXOHTgxcGULOBM2hYlblW/6ef76eff5f3da3ecad126944fbaf3391/PGHH_ANNUAL_REPORT_2024.pdf</x:v>
      </x:c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 t="str">
        <x:v>2024-01-01</x:v>
      </x:c>
      <x:c r="D114" s="2" t="n">
        <x:v>17552.45</x:v>
      </x:c>
      <x:c r="E114" s="2" t="n">
        <x:v>16987</x:v>
      </x:c>
      <x:c r="F114" s="2" t="str">
        <x:v>https://assets.ctfassets.net/oe48y40ukei6/7aXOHTgxcGULOBM2hYlblW/6ef76eff5f3da3ecad126944fbaf3391/PGHH_ANNUAL_REPORT_2024.pdf</x:v>
      </x:c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 t="str">
        <x:v>2024-02-01</x:v>
      </x:c>
      <x:c r="D115" s="2" t="n">
        <x:v>17298</x:v>
      </x:c>
      <x:c r="E115" s="2" t="n">
        <x:v>15366.75</x:v>
      </x:c>
      <x:c r="F115" s="2" t="str">
        <x:v>https://assets.ctfassets.net/oe48y40ukei6/7aXOHTgxcGULOBM2hYlblW/6ef76eff5f3da3ecad126944fbaf3391/PGHH_ANNUAL_REPORT_2024.pdf</x:v>
      </x:c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 t="str">
        <x:v>2024-03-01</x:v>
      </x:c>
      <x:c r="D116" s="2" t="n">
        <x:v>17050.9</x:v>
      </x:c>
      <x:c r="E116" s="2" t="n">
        <x:v>15345.4</x:v>
      </x:c>
      <x:c r="F116" s="2" t="str">
        <x:v>https://assets.ctfassets.net/oe48y40ukei6/7aXOHTgxcGULOBM2hYlblW/6ef76eff5f3da3ecad126944fbaf3391/PGHH_ANNUAL_REPORT_2024.pdf</x:v>
      </x:c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 t="str">
        <x:v>2024-04-01</x:v>
      </x:c>
      <x:c r="D117" s="2" t="n">
        <x:v>17000</x:v>
      </x:c>
      <x:c r="E117" s="2" t="n">
        <x:v>15650.1</x:v>
      </x:c>
      <x:c r="F117" s="2" t="str">
        <x:v>https://assets.ctfassets.net/oe48y40ukei6/7aXOHTgxcGULOBM2hYlblW/6ef76eff5f3da3ecad126944fbaf3391/PGHH_ANNUAL_REPORT_2024.pdf</x:v>
      </x:c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 t="str">
        <x:v>2024-05-01</x:v>
      </x:c>
      <x:c r="D118" s="2" t="n">
        <x:v>16407.85</x:v>
      </x:c>
      <x:c r="E118" s="2" t="n">
        <x:v>15500.9</x:v>
      </x:c>
      <x:c r="F118" s="2" t="str">
        <x:v>https://assets.ctfassets.net/oe48y40ukei6/7aXOHTgxcGULOBM2hYlblW/6ef76eff5f3da3ecad126944fbaf3391/PGHH_ANNUAL_REPORT_2024.pdf</x:v>
      </x:c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 t="str">
        <x:v>2024-06-01</x:v>
      </x:c>
      <x:c r="D119" s="2" t="n">
        <x:v>17064.95</x:v>
      </x:c>
      <x:c r="E119" s="2" t="n">
        <x:v>15655.3</x:v>
      </x:c>
      <x:c r="F119" s="2" t="str">
        <x:v>https://assets.ctfassets.net/oe48y40ukei6/7aXOHTgxcGULOBM2hYlblW/6ef76eff5f3da3ecad126944fbaf3391/PGHH_ANNUAL_REPORT_2024.pdf</x:v>
      </x:c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sensitivity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Case snapshot</x:v>
      </x:c>
      <x:c r="D6" s="10" t="str">
        <x:v>Value / share</x:v>
      </x:c>
      <x:c r="E6" s="10" t="str">
        <x:v>Sales CAGR Y1-5</x:v>
      </x:c>
      <x:c r="F6" s="10" t="str">
        <x:v>Year1 EBIT margin</x:v>
      </x:c>
      <x:c r="G6" s="1"/>
      <x:c r="H6" s="1"/>
      <x:c r="I6" s="10" t="str">
        <x:v>Category CAGR</x:v>
      </x:c>
      <x:c r="J6" s="10" t="str">
        <x:v>Y5 share</x:v>
      </x:c>
      <x:c r="K6" s="10" t="str">
        <x:v>Y5 domestic pads</x:v>
      </x:c>
      <x:c r="L6" s="10" t="str">
        <x:v>Y5 PGHH sales</x:v>
      </x:c>
      <x:c r="M6" s="10" t="str">
        <x:v>Value / share</x:v>
      </x:c>
    </x:row>
    <x:row r="7" ht="23" customHeight="1">
      <x:c r="C7" s="1" t="str">
        <x:v>Base</x:v>
      </x:c>
      <x:c r="D7" s="2" t="n">
        <x:v>3441.1604106230257</x:v>
      </x:c>
      <x:c r="E7" s="16" t="n">
        <x:v>0.06305631503226206</x:v>
      </x:c>
      <x:c r="F7" s="16" t="n">
        <x:v>0.23284608267960502</x:v>
      </x:c>
      <x:c r="G7" s="2"/>
      <x:c r="H7" s="2"/>
      <x:c r="I7" s="16" t="n">
        <x:v>0.05</x:v>
      </x:c>
      <x:c r="J7" s="16" t="n">
        <x:v>0.42</x:v>
      </x:c>
      <x:c r="K7" s="2" t="n">
        <x:v>3000.751855329741</x:v>
      </x:c>
      <x:c r="L7" s="2" t="n">
        <x:v>4979.297246727845</x:v>
      </x:c>
      <x:c r="M7" s="2" t="n">
        <x:v>2857.548685492235</x:v>
      </x:c>
    </x:row>
    <x:row r="8" ht="23" customHeight="1">
      <x:c r="C8" s="1" t="str">
        <x:v>Downside</x:v>
      </x:c>
      <x:c r="D8" s="2" t="n">
        <x:v>1729.6042438266888</x:v>
      </x:c>
      <x:c r="E8" s="16" t="n">
        <x:v>0.01339225004999589</x:v>
      </x:c>
      <x:c r="F8" s="16" t="n">
        <x:v>0.20483447386610057</x:v>
      </x:c>
      <x:c r="G8" s="2"/>
      <x:c r="H8" s="2"/>
      <x:c r="I8" s="16" t="n">
        <x:v>0.05</x:v>
      </x:c>
      <x:c r="J8" s="16" t="n">
        <x:v>0.47</x:v>
      </x:c>
      <x:c r="K8" s="2" t="n">
        <x:v>3357.984219059472</x:v>
      </x:c>
      <x:c r="L8" s="2" t="n">
        <x:v>5336.5296104575755</x:v>
      </x:c>
      <x:c r="M8" s="2" t="n">
        <x:v>3066.657831432088</x:v>
      </x:c>
    </x:row>
    <x:row r="9" ht="23" customHeight="1">
      <x:c r="C9" s="1" t="str">
        <x:v>Recovery</x:v>
      </x:c>
      <x:c r="D9" s="2" t="n">
        <x:v>5687.430649127539</x:v>
      </x:c>
      <x:c r="E9" s="16" t="n">
        <x:v>0.10274502340766833</x:v>
      </x:c>
      <x:c r="F9" s="16" t="n">
        <x:v>0.24343702479817494</x:v>
      </x:c>
      <x:c r="G9" s="2"/>
      <x:c r="H9" s="2"/>
      <x:c r="I9" s="16" t="n">
        <x:v>0.05</x:v>
      </x:c>
      <x:c r="J9" s="16" t="n">
        <x:v>0.52</x:v>
      </x:c>
      <x:c r="K9" s="2" t="n">
        <x:v>3715.2165827892036</x:v>
      </x:c>
      <x:c r="L9" s="2" t="n">
        <x:v>5693.761974187308</x:v>
      </x:c>
      <x:c r="M9" s="2" t="n">
        <x:v>3239.4172625081655</x:v>
      </x:c>
    </x:row>
    <x:row r="10" ht="23" customHeight="1">
      <x:c r="C10" s="1" t="str">
        <x:v>Optimistic stretch</x:v>
      </x:c>
      <x:c r="D10" s="2" t="n">
        <x:v>9002.717505057146</x:v>
      </x:c>
      <x:c r="E10" s="16" t="n">
        <x:v>0.1280733797307647</x:v>
      </x:c>
      <x:c r="F10" s="16" t="n">
        <x:v>0.24886294685160842</x:v>
      </x:c>
      <x:c r="G10" s="2"/>
      <x:c r="H10" s="2"/>
      <x:c r="I10" s="16" t="n">
        <x:v>0.065</x:v>
      </x:c>
      <x:c r="J10" s="16" t="n">
        <x:v>0.42</x:v>
      </x:c>
      <x:c r="K10" s="2" t="n">
        <x:v>3221.3033691043156</x:v>
      </x:c>
      <x:c r="L10" s="2" t="n">
        <x:v>5199.848760502419</x:v>
      </x:c>
      <x:c r="M10" s="2" t="n">
        <x:v>3046.376805880511</x:v>
      </x:c>
    </x:row>
    <x:row r="11" ht="23" customHeight="1">
      <x:c r="C11" s="1"/>
      <x:c r="D11" s="2"/>
      <x:c r="E11" s="2"/>
      <x:c r="F11" s="2"/>
      <x:c r="G11" s="2"/>
      <x:c r="H11" s="2"/>
      <x:c r="I11" s="16" t="n">
        <x:v>0.065</x:v>
      </x:c>
      <x:c r="J11" s="16" t="n">
        <x:v>0.47</x:v>
      </x:c>
      <x:c r="K11" s="2" t="n">
        <x:v>3604.791865426258</x:v>
      </x:c>
      <x:c r="L11" s="2" t="n">
        <x:v>5583.337256824362</x:v>
      </x:c>
      <x:c r="M11" s="2" t="n">
        <x:v>3276.725424929752</x:v>
      </x:c>
    </x:row>
    <x:row r="12" ht="23" customHeight="1">
      <x:c r="C12" s="1"/>
      <x:c r="D12" s="2"/>
      <x:c r="E12" s="2"/>
      <x:c r="F12" s="2"/>
      <x:c r="G12" s="2"/>
      <x:c r="H12" s="2"/>
      <x:c r="I12" s="16" t="n">
        <x:v>0.065</x:v>
      </x:c>
      <x:c r="J12" s="16" t="n">
        <x:v>0.52</x:v>
      </x:c>
      <x:c r="K12" s="2" t="n">
        <x:v>3988.2803617482004</x:v>
      </x:c>
      <x:c r="L12" s="2" t="n">
        <x:v>5966.825753146304</x:v>
      </x:c>
      <x:c r="M12" s="2" t="n">
        <x:v>3468.4143671843913</x:v>
      </x:c>
    </x:row>
    <x:row r="13" ht="27" customHeight="1">
      <x:c r="C13" s="10" t="str">
        <x:v>Driver snapshot</x:v>
      </x:c>
      <x:c r="D13" s="27" t="str">
        <x:v>Input</x:v>
      </x:c>
      <x:c r="E13" s="27" t="str">
        <x:v>Value / share</x:v>
      </x:c>
      <x:c r="F13" s="27" t="str">
        <x:v>Year1 EBIT margin</x:v>
      </x:c>
      <x:c r="G13" s="27" t="str">
        <x:v>Sales CAGR Y1-5</x:v>
      </x:c>
      <x:c r="H13" s="2"/>
      <x:c r="I13" s="16" t="n">
        <x:v>0.08</x:v>
      </x:c>
      <x:c r="J13" s="16" t="n">
        <x:v>0.42</x:v>
      </x:c>
      <x:c r="K13" s="2" t="n">
        <x:v>3454.636564606551</x:v>
      </x:c>
      <x:c r="L13" s="2" t="n">
        <x:v>5433.181956004655</x:v>
      </x:c>
      <x:c r="M13" s="2" t="n">
        <x:v>3251.372907549566</x:v>
      </x:c>
    </x:row>
    <x:row r="14" ht="23" customHeight="1">
      <x:c r="C14" s="1" t="str">
        <x:v>share_change</x:v>
      </x:c>
      <x:c r="D14" s="2" t="n">
        <x:v>-0.05</x:v>
      </x:c>
      <x:c r="E14" s="2" t="n">
        <x:v>3193.7311104193136</x:v>
      </x:c>
      <x:c r="F14" s="16" t="n">
        <x:v>0.23197835827683466</x:v>
      </x:c>
      <x:c r="G14" s="16" t="n">
        <x:v>0.04777009999814208</x:v>
      </x:c>
      <x:c r="H14" s="2"/>
      <x:c r="I14" s="16" t="n">
        <x:v>0.08</x:v>
      </x:c>
      <x:c r="J14" s="16" t="n">
        <x:v>0.47</x:v>
      </x:c>
      <x:c r="K14" s="2" t="n">
        <x:v>3865.9028222978072</x:v>
      </x:c>
      <x:c r="L14" s="2" t="n">
        <x:v>5844.448213695911</x:v>
      </x:c>
      <x:c r="M14" s="2" t="n">
        <x:v>3504.851770791413</x:v>
      </x:c>
    </x:row>
    <x:row r="15" ht="23" customHeight="1">
      <x:c r="C15" s="1" t="str">
        <x:v>share_change</x:v>
      </x:c>
      <x:c r="D15" s="2" t="n">
        <x:v>0</x:v>
      </x:c>
      <x:c r="E15" s="2" t="n">
        <x:v>3441.1604106230257</x:v>
      </x:c>
      <x:c r="F15" s="16" t="n">
        <x:v>0.23284608267960502</x:v>
      </x:c>
      <x:c r="G15" s="16" t="n">
        <x:v>0.06305631503226206</x:v>
      </x:c>
      <x:c r="H15" s="2"/>
      <x:c r="I15" s="16" t="n">
        <x:v>0.08</x:v>
      </x:c>
      <x:c r="J15" s="16" t="n">
        <x:v>0.52</x:v>
      </x:c>
      <x:c r="K15" s="2" t="n">
        <x:v>4277.169079989064</x:v>
      </x:c>
      <x:c r="L15" s="2" t="n">
        <x:v>6255.714471387168</x:v>
      </x:c>
      <x:c r="M15" s="2" t="n">
        <x:v>3717.1630247388675</x:v>
      </x:c>
    </x:row>
    <x:row r="16" ht="23" customHeight="1">
      <x:c r="C16" s="1" t="str">
        <x:v>share_change</x:v>
      </x:c>
      <x:c r="D16" s="2" t="n">
        <x:v>0.05</x:v>
      </x:c>
      <x:c r="E16" s="2" t="n">
        <x:v>3648.0676166510893</x:v>
      </x:c>
      <x:c r="F16" s="16" t="n">
        <x:v>0.23369050470673422</x:v>
      </x:c>
      <x:c r="G16" s="16" t="n">
        <x:v>0.07751073432000477</x:v>
      </x:c>
      <x:c r="H16" s="2"/>
      <x:c r="I16" s="16" t="n">
        <x:v>0.095</x:v>
      </x:c>
      <x:c r="J16" s="16" t="n">
        <x:v>0.42</x:v>
      </x:c>
      <x:c r="K16" s="2" t="n">
        <x:v>3701.299118775588</x:v>
      </x:c>
      <x:c r="L16" s="2" t="n">
        <x:v>5679.844510173692</x:v>
      </x:c>
      <x:c r="M16" s="2" t="n">
        <x:v>3473.784085898655</x:v>
      </x:c>
    </x:row>
    <x:row r="17" ht="23" customHeight="1">
      <x:c r="C17" s="1" t="str">
        <x:v>share_start</x:v>
      </x:c>
      <x:c r="D17" s="2" t="n">
        <x:v>0.44</x:v>
      </x:c>
      <x:c r="E17" s="2" t="n">
        <x:v>3440.184242813213</x:v>
      </x:c>
      <x:c r="F17" s="16" t="n">
        <x:v>0.2327876706592689</x:v>
      </x:c>
      <x:c r="G17" s="16" t="n">
        <x:v>0.06305631503226206</x:v>
      </x:c>
      <x:c r="H17" s="2"/>
      <x:c r="I17" s="16" t="n">
        <x:v>0.095</x:v>
      </x:c>
      <x:c r="J17" s="16" t="n">
        <x:v>0.47</x:v>
      </x:c>
      <x:c r="K17" s="2" t="n">
        <x:v>4141.929966248872</x:v>
      </x:c>
      <x:c r="L17" s="2" t="n">
        <x:v>6120.475357646976</x:v>
      </x:c>
      <x:c r="M17" s="2" t="n">
        <x:v>3752.4270833374785</x:v>
      </x:c>
    </x:row>
    <x:row r="18" ht="23" customHeight="1">
      <x:c r="C18" s="1" t="str">
        <x:v>share_start</x:v>
      </x:c>
      <x:c r="D18" s="2" t="n">
        <x:v>0.47</x:v>
      </x:c>
      <x:c r="E18" s="2" t="n">
        <x:v>3441.1604106230257</x:v>
      </x:c>
      <x:c r="F18" s="16" t="n">
        <x:v>0.23284608267960502</x:v>
      </x:c>
      <x:c r="G18" s="16" t="n">
        <x:v>0.06305631503226206</x:v>
      </x:c>
      <x:c r="H18" s="2"/>
      <x:c r="I18" s="16" t="n">
        <x:v>0.095</x:v>
      </x:c>
      <x:c r="J18" s="16" t="n">
        <x:v>0.52</x:v>
      </x:c>
      <x:c r="K18" s="2" t="n">
        <x:v>4582.560813722157</x:v>
      </x:c>
      <x:c r="L18" s="2" t="n">
        <x:v>6561.106205120261</x:v>
      </x:c>
      <x:c r="M18" s="2" t="n">
        <x:v>3987.181655186701</x:v>
      </x:c>
    </x:row>
    <x:row r="19" ht="23" customHeight="1">
      <x:c r="C19" s="1" t="str">
        <x:v>pad_weight</x:v>
      </x:c>
      <x:c r="D19" s="2" t="n">
        <x:v>0.63</x:v>
      </x:c>
      <x:c r="E19" s="2" t="n">
        <x:v>3426.981670269266</x:v>
      </x:c>
      <x:c r="F19" s="16" t="n">
        <x:v>0.23285516544539095</x:v>
      </x:c>
      <x:c r="G19" s="16" t="n">
        <x:v>0.06244882449075684</x:v>
      </x:c>
      <x:c r="H19" s="2"/>
      <x:c r="I19" s="16" t="n">
        <x:v>0.11</x:v>
      </x:c>
      <x:c r="J19" s="16" t="n">
        <x:v>0.42</x:v>
      </x:c>
      <x:c r="K19" s="2" t="n">
        <x:v>3961.854134561187</x:v>
      </x:c>
      <x:c r="L19" s="2" t="n">
        <x:v>5940.399525959291</x:v>
      </x:c>
      <x:c r="M19" s="2" t="n">
        <x:v>3714.935963075603</x:v>
      </x:c>
    </x:row>
    <x:row r="20" ht="23" customHeight="1">
      <x:c r="C20" s="1" t="str">
        <x:v>pad_weight</x:v>
      </x:c>
      <x:c r="D20" s="2" t="n">
        <x:v>0.65</x:v>
      </x:c>
      <x:c r="E20" s="2" t="n">
        <x:v>3441.1604106230257</x:v>
      </x:c>
      <x:c r="F20" s="16" t="n">
        <x:v>0.23284608267960502</x:v>
      </x:c>
      <x:c r="G20" s="16" t="n">
        <x:v>0.06305631503226206</x:v>
      </x:c>
      <x:c r="H20" s="2"/>
      <x:c r="I20" s="16" t="n">
        <x:v>0.11</x:v>
      </x:c>
      <x:c r="J20" s="16" t="n">
        <x:v>0.47</x:v>
      </x:c>
      <x:c r="K20" s="2" t="n">
        <x:v>4433.503436294662</x:v>
      </x:c>
      <x:c r="L20" s="2" t="n">
        <x:v>6412.048827692765</x:v>
      </x:c>
      <x:c r="M20" s="2" t="n">
        <x:v>4020.9286875018465</x:v>
      </x:c>
    </x:row>
    <x:row r="21" ht="23" customHeight="1">
      <x:c r="C21" s="1" t="str">
        <x:v>pad_weight</x:v>
      </x:c>
      <x:c r="D21" s="2" t="n">
        <x:v>0.67</x:v>
      </x:c>
      <x:c r="E21" s="2" t="n">
        <x:v>3455.343434966942</x:v>
      </x:c>
      <x:c r="F21" s="16" t="n">
        <x:v>0.23283699728947616</x:v>
      </x:c>
      <x:c r="G21" s="16" t="n">
        <x:v>0.06366242012163759</x:v>
      </x:c>
      <x:c r="H21" s="2"/>
      <x:c r="I21" s="16" t="n">
        <x:v>0.11</x:v>
      </x:c>
      <x:c r="J21" s="16" t="n">
        <x:v>0.52</x:v>
      </x:c>
      <x:c r="K21" s="2" t="n">
        <x:v>4905.152738028136</x:v>
      </x:c>
      <x:c r="L21" s="2" t="n">
        <x:v>6883.69812942624</x:v>
      </x:c>
      <x:c r="M21" s="2" t="n">
        <x:v>4280.083475763162</x:v>
      </x:c>
    </x:row>
    <x:row r="22" ht="23" customHeight="1">
      <x:c r="C22" s="1" t="str">
        <x:v>pad_export</x:v>
      </x:c>
      <x:c r="D22" s="2" t="n">
        <x:v>0</x:v>
      </x:c>
      <x:c r="E22" s="2" t="n">
        <x:v>3456.3493448997015</x:v>
      </x:c>
      <x:c r="F22" s="16" t="n">
        <x:v>0.23283635292574353</x:v>
      </x:c>
      <x:c r="G22" s="16" t="n">
        <x:v>0.063705347883944</x:v>
      </x:c>
      <x:c r="H22" s="2"/>
      <x:c r="I22" s="2"/>
      <x:c r="J22" s="2"/>
      <x:c r="K22" s="2"/>
      <x:c r="L22" s="2"/>
      <x:c r="M22" s="2"/>
    </x:row>
    <x:row r="23" ht="23" customHeight="1">
      <x:c r="C23" s="1" t="str">
        <x:v>pad_export</x:v>
      </x:c>
      <x:c r="D23" s="2" t="n">
        <x:v>0.0319</x:v>
      </x:c>
      <x:c r="E23" s="2" t="n">
        <x:v>3441.1604106230257</x:v>
      </x:c>
      <x:c r="F23" s="16" t="n">
        <x:v>0.23284608267960502</x:v>
      </x:c>
      <x:c r="G23" s="16" t="n">
        <x:v>0.06305631503226206</x:v>
      </x:c>
      <x:c r="H23" s="2"/>
      <x:c r="I23" s="2"/>
      <x:c r="J23" s="2"/>
      <x:c r="K23" s="2"/>
      <x:c r="L23" s="2"/>
      <x:c r="M23" s="2"/>
    </x:row>
    <x:row r="24" ht="27" customHeight="1">
      <x:c r="C24" s="1" t="str">
        <x:v>pad_export</x:v>
      </x:c>
      <x:c r="D24" s="2" t="n">
        <x:v>0.049076923076923074</x:v>
      </x:c>
      <x:c r="E24" s="2" t="n">
        <x:v>3432.983786581141</x:v>
      </x:c>
      <x:c r="F24" s="16" t="n">
        <x:v>0.2328513205311133</x:v>
      </x:c>
      <x:c r="G24" s="16" t="n">
        <x:v>0.06270617823356672</x:v>
      </x:c>
      <x:c r="H24" s="2"/>
      <x:c r="I24" s="27" t="str">
        <x:v>Conditional quantile</x:v>
      </x:c>
      <x:c r="J24" s="27" t="str">
        <x:v>Value / share</x:v>
      </x:c>
      <x:c r="K24" s="2"/>
      <x:c r="L24" s="2"/>
      <x:c r="M24" s="2"/>
    </x:row>
    <x:row r="25" ht="23" customHeight="1">
      <x:c r="C25" s="1" t="str">
        <x:v>capture_change</x:v>
      </x:c>
      <x:c r="D25" s="2" t="n">
        <x:v>-0.05</x:v>
      </x:c>
      <x:c r="E25" s="2" t="n">
        <x:v>3344.807576617345</x:v>
      </x:c>
      <x:c r="F25" s="16" t="n">
        <x:v>0.23238101966179098</x:v>
      </x:c>
      <x:c r="G25" s="16" t="n">
        <x:v>0.058048341417453075</x:v>
      </x:c>
      <x:c r="H25" s="2"/>
      <x:c r="I25" s="2" t="str">
        <x:v>P5</x:v>
      </x:c>
      <x:c r="J25" s="2" t="n">
        <x:v>2814.9824012026593</x:v>
      </x:c>
      <x:c r="K25" s="2"/>
      <x:c r="L25" s="2"/>
      <x:c r="M25" s="2"/>
    </x:row>
    <x:row r="26" ht="23" customHeight="1">
      <x:c r="C26" s="1" t="str">
        <x:v>capture_change</x:v>
      </x:c>
      <x:c r="D26" s="2" t="n">
        <x:v>-0.015</x:v>
      </x:c>
      <x:c r="E26" s="2" t="n">
        <x:v>3441.1604106230257</x:v>
      </x:c>
      <x:c r="F26" s="16" t="n">
        <x:v>0.23284608267960502</x:v>
      </x:c>
      <x:c r="G26" s="16" t="n">
        <x:v>0.06305631503226206</x:v>
      </x:c>
      <x:c r="H26" s="2"/>
      <x:c r="I26" s="2" t="str">
        <x:v>P25</x:v>
      </x:c>
      <x:c r="J26" s="2" t="n">
        <x:v>3145.7290820036465</x:v>
      </x:c>
      <x:c r="K26" s="2"/>
      <x:c r="L26" s="2"/>
      <x:c r="M26" s="2"/>
    </x:row>
    <x:row r="27" ht="23" customHeight="1">
      <x:c r="C27" s="1" t="str">
        <x:v>capture_change</x:v>
      </x:c>
      <x:c r="D27" s="2" t="n">
        <x:v>0</x:v>
      </x:c>
      <x:c r="E27" s="2" t="n">
        <x:v>3482.49958661044</x:v>
      </x:c>
      <x:c r="F27" s="16" t="n">
        <x:v>0.2330433118048652</x:v>
      </x:c>
      <x:c r="G27" s="16" t="n">
        <x:v>0.06517400856697719</x:v>
      </x:c>
      <x:c r="H27" s="2"/>
      <x:c r="I27" s="2" t="str">
        <x:v>P50</x:v>
      </x:c>
      <x:c r="J27" s="2" t="n">
        <x:v>3428.2739209829224</x:v>
      </x:c>
      <x:c r="K27" s="2"/>
      <x:c r="L27" s="2"/>
      <x:c r="M27" s="2"/>
    </x:row>
    <x:row r="28" ht="23" customHeight="1">
      <x:c r="C28" s="1" t="str">
        <x:v>capture_change</x:v>
      </x:c>
      <x:c r="D28" s="2" t="n">
        <x:v>0.02</x:v>
      </x:c>
      <x:c r="E28" s="2" t="n">
        <x:v>3537.6595900199736</x:v>
      </x:c>
      <x:c r="F28" s="16" t="n">
        <x:v>0.23330436762460086</x:v>
      </x:c>
      <x:c r="G28" s="16" t="n">
        <x:v>0.06797166040099456</x:v>
      </x:c>
      <x:c r="H28" s="2"/>
      <x:c r="I28" s="2" t="str">
        <x:v>P75</x:v>
      </x:c>
      <x:c r="J28" s="2" t="n">
        <x:v>3771.3905033827846</x:v>
      </x:c>
      <x:c r="K28" s="2"/>
      <x:c r="L28" s="2"/>
      <x:c r="M28" s="2"/>
    </x:row>
    <x:row r="29" ht="23" customHeight="1">
      <x:c r="C29" s="1" t="str">
        <x:v>share_dip</x:v>
      </x:c>
      <x:c r="D29" s="2" t="n">
        <x:v>0</x:v>
      </x:c>
      <x:c r="E29" s="2" t="n">
        <x:v>3481.384377652525</x:v>
      </x:c>
      <x:c r="F29" s="16" t="n">
        <x:v>0.23369050470673422</x:v>
      </x:c>
      <x:c r="G29" s="16" t="n">
        <x:v>0.06305631503226206</x:v>
      </x:c>
      <x:c r="H29" s="2"/>
      <x:c r="I29" s="2" t="str">
        <x:v>P95</x:v>
      </x:c>
      <x:c r="J29" s="2" t="n">
        <x:v>4362.578983291942</x:v>
      </x:c>
      <x:c r="K29" s="2"/>
      <x:c r="L29" s="2"/>
      <x:c r="M29" s="2"/>
    </x:row>
    <x:row r="30" ht="23" customHeight="1">
      <x:c r="C30" s="1" t="str">
        <x:v>share_dip</x:v>
      </x:c>
      <x:c r="D30" s="2" t="n">
        <x:v>0.015</x:v>
      </x:c>
      <x:c r="E30" s="2" t="n">
        <x:v>3441.1604106230257</x:v>
      </x:c>
      <x:c r="F30" s="16" t="n">
        <x:v>0.23284608267960502</x:v>
      </x:c>
      <x:c r="G30" s="16" t="n">
        <x:v>0.06305631503226206</x:v>
      </x:c>
      <x:c r="H30" s="2"/>
      <x:c r="I30" s="2"/>
      <x:c r="J30" s="2"/>
      <x:c r="K30" s="2"/>
      <x:c r="L30" s="2"/>
      <x:c r="M30" s="2"/>
    </x:row>
    <x:row r="31" ht="23" customHeight="1">
      <x:c r="C31" s="1" t="str">
        <x:v>share_dip</x:v>
      </x:c>
      <x:c r="D31" s="2" t="n">
        <x:v>0.03</x:v>
      </x:c>
      <x:c r="E31" s="2" t="n">
        <x:v>3400.84165350612</x:v>
      </x:c>
      <x:c r="F31" s="16" t="n">
        <x:v>0.23197835827683466</x:v>
      </x:c>
      <x:c r="G31" s="16" t="n">
        <x:v>0.06305631503226206</x:v>
      </x:c>
      <x:c r="H31" s="2"/>
      <x:c r="I31" s="2"/>
      <x:c r="J31" s="2"/>
      <x:c r="K31" s="2"/>
      <x:c r="L31" s="2"/>
      <x:c r="M31" s="2"/>
    </x:row>
    <x:row r="32" ht="23" customHeight="1">
      <x:c r="C32" s="1" t="str">
        <x:v>income</x:v>
      </x:c>
      <x:c r="D32" s="2" t="n">
        <x:v>0.03</x:v>
      </x:c>
      <x:c r="E32" s="2" t="n">
        <x:v>3274.6429625085425</x:v>
      </x:c>
      <x:c r="F32" s="16" t="n">
        <x:v>0.23284608267960502</x:v>
      </x:c>
      <x:c r="G32" s="16" t="n">
        <x:v>0.05615795751323116</x:v>
      </x:c>
      <x:c r="H32" s="2"/>
      <x:c r="I32" s="2" t="str">
        <x:v>5000 joint states; seed 20261013</x:v>
      </x:c>
      <x:c r="J32" s="2"/>
      <x:c r="K32" s="2"/>
      <x:c r="L32" s="2"/>
      <x:c r="M32" s="2"/>
    </x:row>
    <x:row r="33" ht="23" customHeight="1">
      <x:c r="C33" s="1" t="str">
        <x:v>income</x:v>
      </x:c>
      <x:c r="D33" s="2" t="n">
        <x:v>0.05</x:v>
      </x:c>
      <x:c r="E33" s="2" t="n">
        <x:v>3441.1604106230257</x:v>
      </x:c>
      <x:c r="F33" s="16" t="n">
        <x:v>0.23284608267960502</x:v>
      </x:c>
      <x:c r="G33" s="16" t="n">
        <x:v>0.06305631503226206</x:v>
      </x:c>
      <x:c r="H33" s="2"/>
      <x:c r="I33" s="2" t="str">
        <x:v>Not probabilities of investment returns</x:v>
      </x:c>
      <x:c r="J33" s="2"/>
      <x:c r="K33" s="2"/>
      <x:c r="L33" s="2"/>
      <x:c r="M33" s="2"/>
    </x:row>
    <x:row r="34" ht="23" customHeight="1">
      <x:c r="C34" s="1" t="str">
        <x:v>income</x:v>
      </x:c>
      <x:c r="D34" s="2" t="n">
        <x:v>0.07</x:v>
      </x:c>
      <x:c r="E34" s="2" t="n">
        <x:v>3617.1115065139998</x:v>
      </x:c>
      <x:c r="F34" s="16" t="n">
        <x:v>0.23284608267960502</x:v>
      </x:c>
      <x:c r="G34" s="16" t="n">
        <x:v>0.06998552184505002</x:v>
      </x:c>
      <x:c r="H34" s="2"/>
      <x:c r="I34" s="2"/>
      <x:c r="J34" s="2"/>
      <x:c r="K34" s="2"/>
      <x:c r="L34" s="2"/>
      <x:c r="M34" s="2"/>
    </x:row>
    <x:row r="35" ht="23" customHeight="1">
      <x:c r="C35" s="1" t="str">
        <x:v>income_elasticity</x:v>
      </x:c>
      <x:c r="D35" s="2" t="n">
        <x:v>0.35</x:v>
      </x:c>
      <x:c r="E35" s="2" t="n">
        <x:v>3247.4038672747415</x:v>
      </x:c>
      <x:c r="F35" s="16" t="n">
        <x:v>0.23284608267960502</x:v>
      </x:c>
      <x:c r="G35" s="16" t="n">
        <x:v>0.05499535739883421</x:v>
      </x:c>
      <x:c r="H35" s="2"/>
      <x:c r="I35" s="2"/>
      <x:c r="J35" s="2"/>
      <x:c r="K35" s="2"/>
      <x:c r="L35" s="2"/>
      <x:c r="M35" s="2"/>
    </x:row>
    <x:row r="36" ht="23" customHeight="1">
      <x:c r="C36" s="1" t="str">
        <x:v>income_elasticity</x:v>
      </x:c>
      <x:c r="D36" s="2" t="n">
        <x:v>0.65</x:v>
      </x:c>
      <x:c r="E36" s="2" t="n">
        <x:v>3441.1604106230257</x:v>
      </x:c>
      <x:c r="F36" s="16" t="n">
        <x:v>0.23284608267960502</x:v>
      </x:c>
      <x:c r="G36" s="16" t="n">
        <x:v>0.06305631503226206</x:v>
      </x:c>
      <x:c r="H36" s="2"/>
      <x:c r="I36" s="2"/>
      <x:c r="J36" s="2"/>
      <x:c r="K36" s="2"/>
      <x:c r="L36" s="2"/>
      <x:c r="M36" s="2"/>
    </x:row>
    <x:row r="37" ht="23" customHeight="1">
      <x:c r="C37" s="1" t="str">
        <x:v>income_elasticity</x:v>
      </x:c>
      <x:c r="D37" s="2" t="n">
        <x:v>0.95</x:v>
      </x:c>
      <x:c r="E37" s="2" t="n">
        <x:v>3652.670528638262</x:v>
      </x:c>
      <x:c r="F37" s="16" t="n">
        <x:v>0.23284608267960502</x:v>
      </x:c>
      <x:c r="G37" s="16" t="n">
        <x:v>0.07134442743577618</x:v>
      </x:c>
      <x:c r="H37" s="2"/>
      <x:c r="I37" s="2"/>
      <x:c r="J37" s="2"/>
      <x:c r="K37" s="2"/>
      <x:c r="L37" s="2"/>
      <x:c r="M37" s="2"/>
    </x:row>
    <x:row r="38" ht="23" customHeight="1">
      <x:c r="C38" s="1" t="str">
        <x:v>adoption</x:v>
      </x:c>
      <x:c r="D38" s="2" t="n">
        <x:v>0</x:v>
      </x:c>
      <x:c r="E38" s="2" t="n">
        <x:v>3182.966114207645</x:v>
      </x:c>
      <x:c r="F38" s="16" t="n">
        <x:v>0.23284608267960502</x:v>
      </x:c>
      <x:c r="G38" s="16" t="n">
        <x:v>0.05220453819290127</x:v>
      </x:c>
      <x:c r="H38" s="2"/>
      <x:c r="I38" s="2"/>
      <x:c r="J38" s="2"/>
      <x:c r="K38" s="2"/>
      <x:c r="L38" s="2"/>
      <x:c r="M38" s="2"/>
    </x:row>
    <x:row r="39" ht="23" customHeight="1">
      <x:c r="C39" s="1" t="str">
        <x:v>adoption</x:v>
      </x:c>
      <x:c r="D39" s="2" t="n">
        <x:v>0.02</x:v>
      </x:c>
      <x:c r="E39" s="2" t="n">
        <x:v>3441.1604106230257</x:v>
      </x:c>
      <x:c r="F39" s="16" t="n">
        <x:v>0.23284608267960502</x:v>
      </x:c>
      <x:c r="G39" s="16" t="n">
        <x:v>0.06305631503226206</x:v>
      </x:c>
      <x:c r="H39" s="2"/>
      <x:c r="I39" s="2"/>
      <x:c r="J39" s="2"/>
      <x:c r="K39" s="2"/>
      <x:c r="L39" s="2"/>
      <x:c r="M39" s="2"/>
    </x:row>
    <x:row r="40" ht="23" customHeight="1">
      <x:c r="C40" s="1" t="str">
        <x:v>adoption</x:v>
      </x:c>
      <x:c r="D40" s="2" t="n">
        <x:v>0.03</x:v>
      </x:c>
      <x:c r="E40" s="2" t="n">
        <x:v>3580.0645934370823</x:v>
      </x:c>
      <x:c r="F40" s="16" t="n">
        <x:v>0.23284608267960502</x:v>
      </x:c>
      <x:c r="G40" s="16" t="n">
        <x:v>0.06855535086952713</x:v>
      </x:c>
      <x:c r="H40" s="2"/>
      <x:c r="I40" s="2"/>
      <x:c r="J40" s="2"/>
      <x:c r="K40" s="2"/>
      <x:c r="L40" s="2"/>
      <x:c r="M40" s="2"/>
    </x:row>
    <x:row r="41" ht="23" customHeight="1">
      <x:c r="C41" s="1" t="str">
        <x:v>category_price</x:v>
      </x:c>
      <x:c r="D41" s="2" t="n">
        <x:v>0.01</x:v>
      </x:c>
      <x:c r="E41" s="2" t="n">
        <x:v>3374.0497688698583</x:v>
      </x:c>
      <x:c r="F41" s="16" t="n">
        <x:v>0.23284608267960502</x:v>
      </x:c>
      <x:c r="G41" s="16" t="n">
        <x:v>0.06031807573572667</x:v>
      </x:c>
      <x:c r="H41" s="2"/>
      <x:c r="I41" s="2"/>
      <x:c r="J41" s="2"/>
      <x:c r="K41" s="2"/>
      <x:c r="L41" s="2"/>
      <x:c r="M41" s="2"/>
    </x:row>
    <x:row r="42" ht="23" customHeight="1">
      <x:c r="C42" s="1" t="str">
        <x:v>category_price</x:v>
      </x:c>
      <x:c r="D42" s="2" t="n">
        <x:v>0.02</x:v>
      </x:c>
      <x:c r="E42" s="2" t="n">
        <x:v>3441.1604106230257</x:v>
      </x:c>
      <x:c r="F42" s="16" t="n">
        <x:v>0.23284608267960502</x:v>
      </x:c>
      <x:c r="G42" s="16" t="n">
        <x:v>0.06305631503226206</x:v>
      </x:c>
      <x:c r="H42" s="2"/>
      <x:c r="I42" s="2"/>
      <x:c r="J42" s="2"/>
      <x:c r="K42" s="2"/>
      <x:c r="L42" s="2"/>
      <x:c r="M42" s="2"/>
    </x:row>
    <x:row r="43" ht="23" customHeight="1">
      <x:c r="C43" s="1" t="str">
        <x:v>category_price</x:v>
      </x:c>
      <x:c r="D43" s="2" t="n">
        <x:v>0.04</x:v>
      </x:c>
      <x:c r="E43" s="2" t="n">
        <x:v>3579.373808271244</x:v>
      </x:c>
      <x:c r="F43" s="16" t="n">
        <x:v>0.23284608267960502</x:v>
      </x:c>
      <x:c r="G43" s="16" t="n">
        <x:v>0.0685285418794106</x:v>
      </x:c>
      <x:c r="H43" s="2"/>
      <x:c r="I43" s="2"/>
      <x:c r="J43" s="2"/>
      <x:c r="K43" s="2"/>
      <x:c r="L43" s="2"/>
      <x:c r="M43" s="2"/>
    </x:row>
    <x:row r="44" ht="23" customHeight="1">
      <x:c r="C44" s="1" t="str">
        <x:v>price_elasticity</x:v>
      </x:c>
      <x:c r="D44" s="2" t="n">
        <x:v>0</x:v>
      </x:c>
      <x:c r="E44" s="2" t="n">
        <x:v>3441.1604106230257</x:v>
      </x:c>
      <x:c r="F44" s="16" t="n">
        <x:v>0.23284608267960502</x:v>
      </x:c>
      <x:c r="G44" s="16" t="n">
        <x:v>0.06305631503226206</x:v>
      </x:c>
      <x:c r="H44" s="2"/>
      <x:c r="I44" s="2"/>
      <x:c r="J44" s="2"/>
      <x:c r="K44" s="2"/>
      <x:c r="L44" s="2"/>
      <x:c r="M44" s="2"/>
    </x:row>
    <x:row r="45" ht="23" customHeight="1">
      <x:c r="C45" s="1" t="str">
        <x:v>price_elasticity</x:v>
      </x:c>
      <x:c r="D45" s="2" t="n">
        <x:v>0.5</x:v>
      </x:c>
      <x:c r="E45" s="2" t="n">
        <x:v>3441.1604106230257</x:v>
      </x:c>
      <x:c r="F45" s="16" t="n">
        <x:v>0.23284608267960502</x:v>
      </x:c>
      <x:c r="G45" s="16" t="n">
        <x:v>0.06305631503226206</x:v>
      </x:c>
      <x:c r="H45" s="2"/>
      <x:c r="I45" s="2"/>
      <x:c r="J45" s="2"/>
      <x:c r="K45" s="2"/>
      <x:c r="L45" s="2"/>
      <x:c r="M45" s="2"/>
    </x:row>
    <x:row r="46" ht="23" customHeight="1">
      <x:c r="C46" s="1" t="str">
        <x:v>price_elasticity</x:v>
      </x:c>
      <x:c r="D46" s="2" t="n">
        <x:v>1</x:v>
      </x:c>
      <x:c r="E46" s="2" t="n">
        <x:v>3441.1604106230257</x:v>
      </x:c>
      <x:c r="F46" s="16" t="n">
        <x:v>0.23284608267960502</x:v>
      </x:c>
      <x:c r="G46" s="16" t="n">
        <x:v>0.06305631503226206</x:v>
      </x:c>
      <x:c r="H46" s="2"/>
      <x:c r="I46" s="2"/>
      <x:c r="J46" s="2"/>
      <x:c r="K46" s="2"/>
      <x:c r="L46" s="2"/>
      <x:c r="M46" s="2"/>
    </x:row>
    <x:row r="47" ht="23" customHeight="1">
      <x:c r="C47" s="1" t="str">
        <x:v>rubs</x:v>
      </x:c>
      <x:c r="D47" s="2" t="n">
        <x:v>0</x:v>
      </x:c>
      <x:c r="E47" s="2" t="n">
        <x:v>3280.598563361887</x:v>
      </x:c>
      <x:c r="F47" s="16" t="n">
        <x:v>0.23232169527632715</x:v>
      </x:c>
      <x:c r="G47" s="16" t="n">
        <x:v>0.05567695010845419</x:v>
      </x:c>
      <x:c r="H47" s="2"/>
      <x:c r="I47" s="2"/>
      <x:c r="J47" s="2"/>
      <x:c r="K47" s="2"/>
      <x:c r="L47" s="2"/>
      <x:c r="M47" s="2"/>
    </x:row>
    <x:row r="48" ht="23" customHeight="1">
      <x:c r="C48" s="1" t="str">
        <x:v>rubs</x:v>
      </x:c>
      <x:c r="D48" s="2" t="n">
        <x:v>0.04</x:v>
      </x:c>
      <x:c r="E48" s="2" t="n">
        <x:v>3441.1604106230257</x:v>
      </x:c>
      <x:c r="F48" s="16" t="n">
        <x:v>0.23284608267960502</x:v>
      </x:c>
      <x:c r="G48" s="16" t="n">
        <x:v>0.06305631503226206</x:v>
      </x:c>
      <x:c r="H48" s="2"/>
      <x:c r="I48" s="2"/>
      <x:c r="J48" s="2"/>
      <x:c r="K48" s="2"/>
      <x:c r="L48" s="2"/>
      <x:c r="M48" s="2"/>
    </x:row>
    <x:row r="49" ht="23" customHeight="1">
      <x:c r="C49" s="1" t="str">
        <x:v>rubs</x:v>
      </x:c>
      <x:c r="D49" s="2" t="n">
        <x:v>0.08</x:v>
      </x:c>
      <x:c r="E49" s="2" t="n">
        <x:v>3639.791111962311</x:v>
      </x:c>
      <x:c r="F49" s="16" t="n">
        <x:v>0.23336186845899148</x:v>
      </x:c>
      <x:c r="G49" s="16" t="n">
        <x:v>0.07141159295760957</x:v>
      </x:c>
      <x:c r="H49" s="2"/>
      <x:c r="I49" s="2"/>
      <x:c r="J49" s="2"/>
      <x:c r="K49" s="2"/>
      <x:c r="L49" s="2"/>
      <x:c r="M49" s="2"/>
    </x:row>
    <x:row r="50" ht="23" customHeight="1">
      <x:c r="C50" s="1" t="str">
        <x:v>drops</x:v>
      </x:c>
      <x:c r="D50" s="2" t="n">
        <x:v>0.02</x:v>
      </x:c>
      <x:c r="E50" s="2" t="n">
        <x:v>3347.275484202323</x:v>
      </x:c>
      <x:c r="F50" s="16" t="n">
        <x:v>0.2325786749224124</x:v>
      </x:c>
      <x:c r="G50" s="16" t="n">
        <x:v>0.058917422489719096</x:v>
      </x:c>
      <x:c r="H50" s="2"/>
      <x:c r="I50" s="2"/>
      <x:c r="J50" s="2"/>
      <x:c r="K50" s="2"/>
      <x:c r="L50" s="2"/>
      <x:c r="M50" s="2"/>
    </x:row>
    <x:row r="51" ht="23" customHeight="1">
      <x:c r="C51" s="1" t="str">
        <x:v>drops</x:v>
      </x:c>
      <x:c r="D51" s="2" t="n">
        <x:v>0.07</x:v>
      </x:c>
      <x:c r="E51" s="2" t="n">
        <x:v>3441.1604106230257</x:v>
      </x:c>
      <x:c r="F51" s="16" t="n">
        <x:v>0.23284608267960502</x:v>
      </x:c>
      <x:c r="G51" s="16" t="n">
        <x:v>0.06305631503226206</x:v>
      </x:c>
      <x:c r="H51" s="2"/>
      <x:c r="I51" s="2"/>
      <x:c r="J51" s="2"/>
      <x:c r="K51" s="2"/>
      <x:c r="L51" s="2"/>
      <x:c r="M51" s="2"/>
    </x:row>
    <x:row r="52" ht="23" customHeight="1">
      <x:c r="C52" s="1" t="str">
        <x:v>drops</x:v>
      </x:c>
      <x:c r="D52" s="2" t="n">
        <x:v>0.12</x:v>
      </x:c>
      <x:c r="E52" s="2" t="n">
        <x:v>3562.8644776469955</x:v>
      </x:c>
      <x:c r="F52" s="16" t="n">
        <x:v>0.23311123552721935</x:v>
      </x:c>
      <x:c r="G52" s="16" t="n">
        <x:v>0.06796134508667317</x:v>
      </x:c>
      <x:c r="H52" s="2"/>
      <x:c r="I52" s="2"/>
      <x:c r="J52" s="2"/>
      <x:c r="K52" s="2"/>
      <x:c r="L52" s="2"/>
      <x:c r="M52" s="2"/>
    </x:row>
    <x:row r="53" ht="23" customHeight="1">
      <x:c r="C53" s="1" t="str">
        <x:v>tablets</x:v>
      </x:c>
      <x:c r="D53" s="2" t="n">
        <x:v>-0.02</x:v>
      </x:c>
      <x:c r="E53" s="2" t="n">
        <x:v>3421.7732596013047</x:v>
      </x:c>
      <x:c r="F53" s="16" t="n">
        <x:v>0.23277818321736524</x:v>
      </x:c>
      <x:c r="G53" s="16" t="n">
        <x:v>0.06215983478820819</x:v>
      </x:c>
      <x:c r="H53" s="2"/>
      <x:c r="I53" s="2"/>
      <x:c r="J53" s="2"/>
      <x:c r="K53" s="2"/>
      <x:c r="L53" s="2"/>
      <x:c r="M53" s="2"/>
    </x:row>
    <x:row r="54" ht="23" customHeight="1">
      <x:c r="C54" s="1" t="str">
        <x:v>tablets</x:v>
      </x:c>
      <x:c r="D54" s="2" t="n">
        <x:v>0.03</x:v>
      </x:c>
      <x:c r="E54" s="2" t="n">
        <x:v>3441.1604106230257</x:v>
      </x:c>
      <x:c r="F54" s="16" t="n">
        <x:v>0.23284608267960502</x:v>
      </x:c>
      <x:c r="G54" s="16" t="n">
        <x:v>0.06305631503226206</x:v>
      </x:c>
      <x:c r="H54" s="2"/>
      <x:c r="I54" s="2"/>
      <x:c r="J54" s="2"/>
      <x:c r="K54" s="2"/>
      <x:c r="L54" s="2"/>
      <x:c r="M54" s="2"/>
    </x:row>
    <x:row r="55" ht="23" customHeight="1">
      <x:c r="C55" s="1" t="str">
        <x:v>tablets</x:v>
      </x:c>
      <x:c r="D55" s="2" t="n">
        <x:v>0.08</x:v>
      </x:c>
      <x:c r="E55" s="2" t="n">
        <x:v>3466.382625763796</x:v>
      </x:c>
      <x:c r="F55" s="16" t="n">
        <x:v>0.2329138358383444</x:v>
      </x:c>
      <x:c r="G55" s="16" t="n">
        <x:v>0.06414078631871956</x:v>
      </x:c>
      <x:c r="H55" s="2"/>
      <x:c r="I55" s="2"/>
      <x:c r="J55" s="2"/>
      <x:c r="K55" s="2"/>
      <x:c r="L55" s="2"/>
      <x:c r="M55" s="2"/>
    </x:row>
    <x:row r="56" ht="23" customHeight="1">
      <x:c r="C56" s="1" t="str">
        <x:v>oil</x:v>
      </x:c>
      <x:c r="D56" s="2" t="n">
        <x:v>-0.2</x:v>
      </x:c>
      <x:c r="E56" s="2" t="n">
        <x:v>3484.5278368750837</x:v>
      </x:c>
      <x:c r="F56" s="16" t="n">
        <x:v>0.24130336229908278</x:v>
      </x:c>
      <x:c r="G56" s="16" t="n">
        <x:v>0.06305631503226206</x:v>
      </x:c>
      <x:c r="H56" s="2"/>
      <x:c r="I56" s="2"/>
      <x:c r="J56" s="2"/>
      <x:c r="K56" s="2"/>
      <x:c r="L56" s="2"/>
      <x:c r="M56" s="2"/>
    </x:row>
    <x:row r="57" ht="23" customHeight="1">
      <x:c r="C57" s="1" t="str">
        <x:v>oil</x:v>
      </x:c>
      <x:c r="D57" s="2" t="n">
        <x:v>0.1</x:v>
      </x:c>
      <x:c r="E57" s="2" t="n">
        <x:v>3441.1604106230257</x:v>
      </x:c>
      <x:c r="F57" s="16" t="n">
        <x:v>0.23284608267960502</x:v>
      </x:c>
      <x:c r="G57" s="16" t="n">
        <x:v>0.06305631503226206</x:v>
      </x:c>
      <x:c r="H57" s="2"/>
      <x:c r="I57" s="2"/>
      <x:c r="J57" s="2"/>
      <x:c r="K57" s="2"/>
      <x:c r="L57" s="2"/>
      <x:c r="M57" s="2"/>
    </x:row>
    <x:row r="58" ht="23" customHeight="1">
      <x:c r="C58" s="1" t="str">
        <x:v>oil</x:v>
      </x:c>
      <x:c r="D58" s="2" t="n">
        <x:v>0.4</x:v>
      </x:c>
      <x:c r="E58" s="2" t="n">
        <x:v>3397.7929843709676</x:v>
      </x:c>
      <x:c r="F58" s="16" t="n">
        <x:v>0.22438880306012712</x:v>
      </x:c>
      <x:c r="G58" s="16" t="n">
        <x:v>0.06305631503226206</x:v>
      </x:c>
      <x:c r="H58" s="2"/>
      <x:c r="I58" s="2"/>
      <x:c r="J58" s="2"/>
      <x:c r="K58" s="2"/>
      <x:c r="L58" s="2"/>
      <x:c r="M58" s="2"/>
    </x:row>
    <x:row r="59" ht="23" customHeight="1">
      <x:c r="C59" s="1" t="str">
        <x:v>pulp</x:v>
      </x:c>
      <x:c r="D59" s="2" t="n">
        <x:v>-0.15</x:v>
      </x:c>
      <x:c r="E59" s="2" t="n">
        <x:v>3472.1644706891675</x:v>
      </x:c>
      <x:c r="F59" s="16" t="n">
        <x:v>0.23889232586209064</x:v>
      </x:c>
      <x:c r="G59" s="16" t="n">
        <x:v>0.06305631503226206</x:v>
      </x:c>
      <x:c r="H59" s="2"/>
      <x:c r="I59" s="2"/>
      <x:c r="J59" s="2"/>
      <x:c r="K59" s="2"/>
      <x:c r="L59" s="2"/>
      <x:c r="M59" s="2"/>
    </x:row>
    <x:row r="60" ht="23" customHeight="1">
      <x:c r="C60" s="1" t="str">
        <x:v>pulp</x:v>
      </x:c>
      <x:c r="D60" s="2" t="n">
        <x:v>0</x:v>
      </x:c>
      <x:c r="E60" s="2" t="n">
        <x:v>3441.1604106230257</x:v>
      </x:c>
      <x:c r="F60" s="16" t="n">
        <x:v>0.23284608267960502</x:v>
      </x:c>
      <x:c r="G60" s="16" t="n">
        <x:v>0.06305631503226206</x:v>
      </x:c>
      <x:c r="H60" s="2"/>
      <x:c r="I60" s="2"/>
      <x:c r="J60" s="2"/>
      <x:c r="K60" s="2"/>
      <x:c r="L60" s="2"/>
      <x:c r="M60" s="2"/>
    </x:row>
    <x:row r="61" ht="23" customHeight="1">
      <x:c r="C61" s="1" t="str">
        <x:v>pulp</x:v>
      </x:c>
      <x:c r="D61" s="2" t="n">
        <x:v>0.15</x:v>
      </x:c>
      <x:c r="E61" s="2" t="n">
        <x:v>3410.156350556884</x:v>
      </x:c>
      <x:c r="F61" s="16" t="n">
        <x:v>0.22679983949711938</x:v>
      </x:c>
      <x:c r="G61" s="16" t="n">
        <x:v>0.06305631503226206</x:v>
      </x:c>
      <x:c r="H61" s="2"/>
      <x:c r="I61" s="2"/>
      <x:c r="J61" s="2"/>
      <x:c r="K61" s="2"/>
      <x:c r="L61" s="2"/>
      <x:c r="M61" s="2"/>
    </x:row>
    <x:row r="62" ht="23" customHeight="1">
      <x:c r="C62" s="1" t="str">
        <x:v>fx</x:v>
      </x:c>
      <x:c r="D62" s="2" t="n">
        <x:v>-0.02</x:v>
      </x:c>
      <x:c r="E62" s="2" t="n">
        <x:v>3459.6515838375676</x:v>
      </x:c>
      <x:c r="F62" s="16" t="n">
        <x:v>0.23645213071802548</x:v>
      </x:c>
      <x:c r="G62" s="16" t="n">
        <x:v>0.06305631503226206</x:v>
      </x:c>
      <x:c r="H62" s="2"/>
      <x:c r="I62" s="2"/>
      <x:c r="J62" s="2"/>
      <x:c r="K62" s="2"/>
      <x:c r="L62" s="2"/>
      <x:c r="M62" s="2"/>
    </x:row>
    <x:row r="63" ht="23" customHeight="1">
      <x:c r="C63" s="1" t="str">
        <x:v>fx</x:v>
      </x:c>
      <x:c r="D63" s="2" t="n">
        <x:v>0.03</x:v>
      </x:c>
      <x:c r="E63" s="2" t="n">
        <x:v>3441.1604106230257</x:v>
      </x:c>
      <x:c r="F63" s="16" t="n">
        <x:v>0.23284608267960502</x:v>
      </x:c>
      <x:c r="G63" s="16" t="n">
        <x:v>0.06305631503226206</x:v>
      </x:c>
      <x:c r="H63" s="2"/>
      <x:c r="I63" s="2"/>
      <x:c r="J63" s="2"/>
      <x:c r="K63" s="2"/>
      <x:c r="L63" s="2"/>
      <x:c r="M63" s="2"/>
    </x:row>
    <x:row r="64" ht="23" customHeight="1">
      <x:c r="C64" s="1" t="str">
        <x:v>fx</x:v>
      </x:c>
      <x:c r="D64" s="2" t="n">
        <x:v>0.08</x:v>
      </x:c>
      <x:c r="E64" s="2" t="n">
        <x:v>3422.669237408484</x:v>
      </x:c>
      <x:c r="F64" s="16" t="n">
        <x:v>0.22924003464118453</x:v>
      </x:c>
      <x:c r="G64" s="16" t="n">
        <x:v>0.06305631503226206</x:v>
      </x:c>
      <x:c r="H64" s="2"/>
      <x:c r="I64" s="2"/>
      <x:c r="J64" s="2"/>
      <x:c r="K64" s="2"/>
      <x:c r="L64" s="2"/>
      <x:c r="M64" s="2"/>
    </x:row>
    <x:row r="65" ht="23" customHeight="1">
      <x:c r="C65" s="1" t="str">
        <x:v>freight</x:v>
      </x:c>
      <x:c r="D65" s="2" t="n">
        <x:v>-0.1</x:v>
      </x:c>
      <x:c r="E65" s="2" t="n">
        <x:v>3451.367243906563</x:v>
      </x:c>
      <x:c r="F65" s="16" t="n">
        <x:v>0.23483656379800366</x:v>
      </x:c>
      <x:c r="G65" s="16" t="n">
        <x:v>0.06305631503226206</x:v>
      </x:c>
      <x:c r="H65" s="2"/>
      <x:c r="I65" s="2"/>
      <x:c r="J65" s="2"/>
      <x:c r="K65" s="2"/>
      <x:c r="L65" s="2"/>
      <x:c r="M65" s="2"/>
    </x:row>
    <x:row r="66" ht="23" customHeight="1">
      <x:c r="C66" s="1" t="str">
        <x:v>freight</x:v>
      </x:c>
      <x:c r="D66" s="2" t="n">
        <x:v>0.1</x:v>
      </x:c>
      <x:c r="E66" s="2" t="n">
        <x:v>3441.1604106230257</x:v>
      </x:c>
      <x:c r="F66" s="16" t="n">
        <x:v>0.23284608267960502</x:v>
      </x:c>
      <x:c r="G66" s="16" t="n">
        <x:v>0.06305631503226206</x:v>
      </x:c>
      <x:c r="H66" s="2"/>
      <x:c r="I66" s="2"/>
      <x:c r="J66" s="2"/>
      <x:c r="K66" s="2"/>
      <x:c r="L66" s="2"/>
      <x:c r="M66" s="2"/>
    </x:row>
    <x:row r="67" ht="23" customHeight="1">
      <x:c r="C67" s="1" t="str">
        <x:v>freight</x:v>
      </x:c>
      <x:c r="D67" s="2" t="n">
        <x:v>0.3</x:v>
      </x:c>
      <x:c r="E67" s="2" t="n">
        <x:v>3430.953577339488</x:v>
      </x:c>
      <x:c r="F67" s="16" t="n">
        <x:v>0.23085560156120635</x:v>
      </x:c>
      <x:c r="G67" s="16" t="n">
        <x:v>0.06305631503226206</x:v>
      </x:c>
      <x:c r="H67" s="2"/>
      <x:c r="I67" s="2"/>
      <x:c r="J67" s="2"/>
      <x:c r="K67" s="2"/>
      <x:c r="L67" s="2"/>
      <x:c r="M67" s="2"/>
    </x:row>
    <x:row r="68" ht="23" customHeight="1">
      <x:c r="C68" s="1" t="str">
        <x:v>mitigation</x:v>
      </x:c>
      <x:c r="D68" s="2" t="n">
        <x:v>0</x:v>
      </x:c>
      <x:c r="E68" s="2" t="n">
        <x:v>3410.7072790840707</x:v>
      </x:c>
      <x:c r="F68" s="16" t="n">
        <x:v>0.22690727858233714</x:v>
      </x:c>
      <x:c r="G68" s="16" t="n">
        <x:v>0.06305631503226206</x:v>
      </x:c>
      <x:c r="H68" s="2"/>
      <x:c r="I68" s="2"/>
      <x:c r="J68" s="2"/>
      <x:c r="K68" s="2"/>
      <x:c r="L68" s="2"/>
      <x:c r="M68" s="2"/>
    </x:row>
    <x:row r="69" ht="23" customHeight="1">
      <x:c r="C69" s="1" t="str">
        <x:v>mitigation</x:v>
      </x:c>
      <x:c r="D69" s="2" t="n">
        <x:v>0.5</x:v>
      </x:c>
      <x:c r="E69" s="2" t="n">
        <x:v>3441.1604106230257</x:v>
      </x:c>
      <x:c r="F69" s="16" t="n">
        <x:v>0.23284608267960502</x:v>
      </x:c>
      <x:c r="G69" s="16" t="n">
        <x:v>0.06305631503226206</x:v>
      </x:c>
      <x:c r="H69" s="2"/>
      <x:c r="I69" s="2"/>
      <x:c r="J69" s="2"/>
      <x:c r="K69" s="2"/>
      <x:c r="L69" s="2"/>
      <x:c r="M69" s="2"/>
    </x:row>
    <x:row r="70" ht="23" customHeight="1">
      <x:c r="C70" s="1" t="str">
        <x:v>mitigation</x:v>
      </x:c>
      <x:c r="D70" s="2" t="n">
        <x:v>0.75</x:v>
      </x:c>
      <x:c r="E70" s="2" t="n">
        <x:v>3456.3869763925036</x:v>
      </x:c>
      <x:c r="F70" s="16" t="n">
        <x:v>0.23581548472823893</x:v>
      </x:c>
      <x:c r="G70" s="16" t="n">
        <x:v>0.06305631503226206</x:v>
      </x:c>
      <x:c r="H70" s="2"/>
      <x:c r="I70" s="2"/>
      <x:c r="J70" s="2"/>
      <x:c r="K70" s="2"/>
      <x:c r="L70" s="2"/>
      <x:c r="M70" s="2"/>
    </x:row>
    <x:row r="71" ht="23" customHeight="1">
      <x:c r="C71" s="1" t="str">
        <x:v>macro_floor</x:v>
      </x:c>
      <x:c r="D71" s="2" t="n">
        <x:v>0</x:v>
      </x:c>
      <x:c r="E71" s="2" t="n">
        <x:v>3458.903174887324</x:v>
      </x:c>
      <x:c r="F71" s="16" t="n">
        <x:v>0.23284608267960502</x:v>
      </x:c>
      <x:c r="G71" s="16" t="n">
        <x:v>0.06305631503226206</x:v>
      </x:c>
      <x:c r="H71" s="2"/>
      <x:c r="I71" s="2"/>
      <x:c r="J71" s="2"/>
      <x:c r="K71" s="2"/>
      <x:c r="L71" s="2"/>
      <x:c r="M71" s="2"/>
    </x:row>
    <x:row r="72" ht="23" customHeight="1">
      <x:c r="C72" s="1" t="str">
        <x:v>macro_floor</x:v>
      </x:c>
      <x:c r="D72" s="2" t="n">
        <x:v>0.25</x:v>
      </x:c>
      <x:c r="E72" s="2" t="n">
        <x:v>3441.1604106230257</x:v>
      </x:c>
      <x:c r="F72" s="16" t="n">
        <x:v>0.23284608267960502</x:v>
      </x:c>
      <x:c r="G72" s="16" t="n">
        <x:v>0.06305631503226206</x:v>
      </x:c>
      <x:c r="H72" s="2"/>
      <x:c r="I72" s="2"/>
      <x:c r="J72" s="2"/>
      <x:c r="K72" s="2"/>
      <x:c r="L72" s="2"/>
      <x:c r="M72" s="2"/>
    </x:row>
    <x:row r="73" ht="23" customHeight="1">
      <x:c r="C73" s="1" t="str">
        <x:v>macro_floor</x:v>
      </x:c>
      <x:c r="D73" s="2" t="n">
        <x:v>1</x:v>
      </x:c>
      <x:c r="E73" s="2" t="n">
        <x:v>3387.932117830132</x:v>
      </x:c>
      <x:c r="F73" s="16" t="n">
        <x:v>0.23284608267960502</x:v>
      </x:c>
      <x:c r="G73" s="16" t="n">
        <x:v>0.06305631503226206</x:v>
      </x:c>
      <x:c r="H73" s="2"/>
      <x:c r="I73" s="2"/>
      <x:c r="J73" s="2"/>
      <x:c r="K73" s="2"/>
      <x:c r="L73" s="2"/>
      <x:c r="M73" s="2"/>
    </x:row>
    <x:row r="74" ht="23" customHeight="1">
      <x:c r="C74" s="1" t="str">
        <x:v>extra_ad</x:v>
      </x:c>
      <x:c r="D74" s="2" t="n">
        <x:v>0</x:v>
      </x:c>
      <x:c r="E74" s="2" t="n">
        <x:v>3449.8470662341456</x:v>
      </x:c>
      <x:c r="F74" s="16" t="n">
        <x:v>0.23784608267960494</x:v>
      </x:c>
      <x:c r="G74" s="16" t="n">
        <x:v>0.06305631503226206</x:v>
      </x:c>
      <x:c r="H74" s="2"/>
      <x:c r="I74" s="2"/>
      <x:c r="J74" s="2"/>
      <x:c r="K74" s="2"/>
      <x:c r="L74" s="2"/>
      <x:c r="M74" s="2"/>
    </x:row>
    <x:row r="75" ht="23" customHeight="1">
      <x:c r="C75" s="1" t="str">
        <x:v>extra_ad</x:v>
      </x:c>
      <x:c r="D75" s="2" t="n">
        <x:v>0.005</x:v>
      </x:c>
      <x:c r="E75" s="2" t="n">
        <x:v>3441.1604106230257</x:v>
      </x:c>
      <x:c r="F75" s="16" t="n">
        <x:v>0.23284608267960502</x:v>
      </x:c>
      <x:c r="G75" s="16" t="n">
        <x:v>0.06305631503226206</x:v>
      </x:c>
      <x:c r="H75" s="2"/>
      <x:c r="I75" s="2"/>
      <x:c r="J75" s="2"/>
      <x:c r="K75" s="2"/>
      <x:c r="L75" s="2"/>
      <x:c r="M75" s="2"/>
    </x:row>
    <x:row r="76" ht="23" customHeight="1">
      <x:c r="C76" s="1" t="str">
        <x:v>extra_ad</x:v>
      </x:c>
      <x:c r="D76" s="2" t="n">
        <x:v>0.02</x:v>
      </x:c>
      <x:c r="E76" s="2" t="n">
        <x:v>3415.1004437896668</x:v>
      </x:c>
      <x:c r="F76" s="16" t="n">
        <x:v>0.21784608267960498</x:v>
      </x:c>
      <x:c r="G76" s="16" t="n">
        <x:v>0.06305631503226206</x:v>
      </x:c>
      <x:c r="H76" s="2"/>
      <x:c r="I76" s="2"/>
      <x:c r="J76" s="2"/>
      <x:c r="K76" s="2"/>
      <x:c r="L76" s="2"/>
      <x:c r="M76" s="2"/>
    </x:row>
    <x:row r="77" ht="23" customHeight="1">
      <x:c r="C77" s="1" t="str">
        <x:v>extra_royalty</x:v>
      </x:c>
      <x:c r="D77" s="2" t="n">
        <x:v>0</x:v>
      </x:c>
      <x:c r="E77" s="2" t="n">
        <x:v>3441.1604106230257</x:v>
      </x:c>
      <x:c r="F77" s="16" t="n">
        <x:v>0.23284608267960502</x:v>
      </x:c>
      <x:c r="G77" s="16" t="n">
        <x:v>0.06305631503226206</x:v>
      </x:c>
      <x:c r="H77" s="2"/>
      <x:c r="I77" s="2"/>
      <x:c r="J77" s="2"/>
      <x:c r="K77" s="2"/>
      <x:c r="L77" s="2"/>
      <x:c r="M77" s="2"/>
    </x:row>
    <x:row r="78" ht="23" customHeight="1">
      <x:c r="C78" s="1" t="str">
        <x:v>extra_royalty</x:v>
      </x:c>
      <x:c r="D78" s="2" t="n">
        <x:v>0.005</x:v>
      </x:c>
      <x:c r="E78" s="2" t="n">
        <x:v>3370.7073169013906</x:v>
      </x:c>
      <x:c r="F78" s="16" t="n">
        <x:v>0.22784608267960496</x:v>
      </x:c>
      <x:c r="G78" s="16" t="n">
        <x:v>0.06305631503226206</x:v>
      </x:c>
      <x:c r="H78" s="2"/>
      <x:c r="I78" s="2"/>
      <x:c r="J78" s="2"/>
      <x:c r="K78" s="2"/>
      <x:c r="L78" s="2"/>
      <x:c r="M78" s="2"/>
    </x:row>
    <x:row r="79" ht="23" customHeight="1">
      <x:c r="C79" s="1" t="str">
        <x:v>extra_royalty</x:v>
      </x:c>
      <x:c r="D79" s="2" t="n">
        <x:v>0.01</x:v>
      </x:c>
      <x:c r="E79" s="2" t="n">
        <x:v>3300.254223179755</x:v>
      </x:c>
      <x:c r="F79" s="16" t="n">
        <x:v>0.22284608267960504</x:v>
      </x:c>
      <x:c r="G79" s="16" t="n">
        <x:v>0.06305631503226206</x:v>
      </x:c>
      <x:c r="H79" s="2"/>
      <x:c r="I79" s="2"/>
      <x:c r="J79" s="2"/>
      <x:c r="K79" s="2"/>
      <x:c r="L79" s="2"/>
      <x:c r="M79" s="2"/>
    </x:row>
    <x:row r="80" ht="23" customHeight="1">
      <x:c r="C80" s="1" t="str">
        <x:v>productivity</x:v>
      </x:c>
      <x:c r="D80" s="2" t="n">
        <x:v>0</x:v>
      </x:c>
      <x:c r="E80" s="2" t="n">
        <x:v>3441.1604106230257</x:v>
      </x:c>
      <x:c r="F80" s="16" t="n">
        <x:v>0.23284608267960502</x:v>
      </x:c>
      <x:c r="G80" s="16" t="n">
        <x:v>0.06305631503226206</x:v>
      </x:c>
      <x:c r="H80" s="2"/>
      <x:c r="I80" s="2"/>
      <x:c r="J80" s="2"/>
      <x:c r="K80" s="2"/>
      <x:c r="L80" s="2"/>
      <x:c r="M80" s="2"/>
    </x:row>
    <x:row r="81" ht="23" customHeight="1">
      <x:c r="C81" s="1" t="str">
        <x:v>productivity</x:v>
      </x:c>
      <x:c r="D81" s="2" t="n">
        <x:v>0.001</x:v>
      </x:c>
      <x:c r="E81" s="2" t="n">
        <x:v>3503.0526108944096</x:v>
      </x:c>
      <x:c r="F81" s="16" t="n">
        <x:v>0.23384608267960505</x:v>
      </x:c>
      <x:c r="G81" s="16" t="n">
        <x:v>0.06305631503226206</x:v>
      </x:c>
      <x:c r="H81" s="2"/>
      <x:c r="I81" s="2"/>
      <x:c r="J81" s="2"/>
      <x:c r="K81" s="2"/>
      <x:c r="L81" s="2"/>
      <x:c r="M81" s="2"/>
    </x:row>
    <x:row r="82" ht="23" customHeight="1">
      <x:c r="C82" s="1" t="str">
        <x:v>productivity</x:v>
      </x:c>
      <x:c r="D82" s="2" t="n">
        <x:v>0.002</x:v>
      </x:c>
      <x:c r="E82" s="2" t="n">
        <x:v>3564.9448111657925</x:v>
      </x:c>
      <x:c r="F82" s="16" t="n">
        <x:v>0.234846082679605</x:v>
      </x:c>
      <x:c r="G82" s="16" t="n">
        <x:v>0.06305631503226206</x:v>
      </x:c>
      <x:c r="H82" s="2"/>
      <x:c r="I82" s="2"/>
      <x:c r="J82" s="2"/>
      <x:c r="K82" s="2"/>
      <x:c r="L82" s="2"/>
      <x:c r="M82" s="2"/>
    </x:row>
    <x:row r="83" ht="23" customHeight="1">
      <x:c r="C83" s="1" t="str">
        <x:v>mix_margin_gap</x:v>
      </x:c>
      <x:c r="D83" s="2" t="n">
        <x:v>-0.05</x:v>
      </x:c>
      <x:c r="E83" s="2" t="n">
        <x:v>3420.967628001715</x:v>
      </x:c>
      <x:c r="F83" s="16" t="n">
        <x:v>0.2330037915332157</x:v>
      </x:c>
      <x:c r="G83" s="16" t="n">
        <x:v>0.06305631503226206</x:v>
      </x:c>
      <x:c r="H83" s="2"/>
      <x:c r="I83" s="2"/>
      <x:c r="J83" s="2"/>
      <x:c r="K83" s="2"/>
      <x:c r="L83" s="2"/>
      <x:c r="M83" s="2"/>
    </x:row>
    <x:row r="84" ht="23" customHeight="1">
      <x:c r="C84" s="1" t="str">
        <x:v>mix_margin_gap</x:v>
      </x:c>
      <x:c r="D84" s="2" t="n">
        <x:v>0</x:v>
      </x:c>
      <x:c r="E84" s="2" t="n">
        <x:v>3441.1604106230257</x:v>
      </x:c>
      <x:c r="F84" s="16" t="n">
        <x:v>0.23284608267960502</x:v>
      </x:c>
      <x:c r="G84" s="16" t="n">
        <x:v>0.06305631503226206</x:v>
      </x:c>
      <x:c r="H84" s="2"/>
      <x:c r="I84" s="2"/>
      <x:c r="J84" s="2"/>
      <x:c r="K84" s="2"/>
      <x:c r="L84" s="2"/>
      <x:c r="M84" s="2"/>
    </x:row>
    <x:row r="85" ht="23" customHeight="1">
      <x:c r="C85" s="1" t="str">
        <x:v>mix_margin_gap</x:v>
      </x:c>
      <x:c r="D85" s="2" t="n">
        <x:v>0.05</x:v>
      </x:c>
      <x:c r="E85" s="2" t="n">
        <x:v>3461.353193244335</x:v>
      </x:c>
      <x:c r="F85" s="16" t="n">
        <x:v>0.2326883738259941</x:v>
      </x:c>
      <x:c r="G85" s="16" t="n">
        <x:v>0.06305631503226206</x:v>
      </x:c>
      <x:c r="H85" s="2"/>
      <x:c r="I85" s="2"/>
      <x:c r="J85" s="2"/>
      <x:c r="K85" s="2"/>
      <x:c r="L85" s="2"/>
      <x:c r="M85" s="2"/>
    </x:row>
    <x:row r="86" ht="23" customHeight="1">
      <x:c r="C86" s="1" t="str">
        <x:v>fixed_fraction</x:v>
      </x:c>
      <x:c r="D86" s="2" t="n">
        <x:v>0</x:v>
      </x:c>
      <x:c r="E86" s="2" t="n">
        <x:v>3370.234078357779</x:v>
      </x:c>
      <x:c r="F86" s="16" t="n">
        <x:v>0.2333572252088326</x:v>
      </x:c>
      <x:c r="G86" s="16" t="n">
        <x:v>0.06305631503226206</x:v>
      </x:c>
      <x:c r="H86" s="2"/>
      <x:c r="I86" s="2"/>
      <x:c r="J86" s="2"/>
      <x:c r="K86" s="2"/>
      <x:c r="L86" s="2"/>
      <x:c r="M86" s="2"/>
    </x:row>
    <x:row r="87" ht="23" customHeight="1">
      <x:c r="C87" s="1" t="str">
        <x:v>fixed_fraction</x:v>
      </x:c>
      <x:c r="D87" s="2" t="n">
        <x:v>0.5</x:v>
      </x:c>
      <x:c r="E87" s="2" t="n">
        <x:v>3441.1604106230257</x:v>
      </x:c>
      <x:c r="F87" s="16" t="n">
        <x:v>0.23284608267960502</x:v>
      </x:c>
      <x:c r="G87" s="16" t="n">
        <x:v>0.06305631503226206</x:v>
      </x:c>
      <x:c r="H87" s="2"/>
      <x:c r="I87" s="2"/>
      <x:c r="J87" s="2"/>
      <x:c r="K87" s="2"/>
      <x:c r="L87" s="2"/>
      <x:c r="M87" s="2"/>
    </x:row>
    <x:row r="88" ht="23" customHeight="1">
      <x:c r="C88" s="1" t="str">
        <x:v>fixed_fraction</x:v>
      </x:c>
      <x:c r="D88" s="2" t="n">
        <x:v>1</x:v>
      </x:c>
      <x:c r="E88" s="2" t="n">
        <x:v>3508.9336353106373</x:v>
      </x:c>
      <x:c r="F88" s="16" t="n">
        <x:v>0.23233494015037723</x:v>
      </x:c>
      <x:c r="G88" s="16" t="n">
        <x:v>0.06305631503226206</x:v>
      </x:c>
      <x:c r="H88" s="2"/>
      <x:c r="I88" s="2"/>
      <x:c r="J88" s="2"/>
      <x:c r="K88" s="2"/>
      <x:c r="L88" s="2"/>
      <x:c r="M88" s="2"/>
    </x:row>
    <x:row r="89" ht="23" customHeight="1">
      <x:c r="C89" s="1" t="str">
        <x:v>required_return</x:v>
      </x:c>
      <x:c r="D89" s="2" t="n">
        <x:v>0.095</x:v>
      </x:c>
      <x:c r="E89" s="2" t="n">
        <x:v>4839.004863017876</x:v>
      </x:c>
      <x:c r="F89" s="16" t="n">
        <x:v>0.23284608267960502</x:v>
      </x:c>
      <x:c r="G89" s="16" t="n">
        <x:v>0.06305631503226206</x:v>
      </x:c>
      <x:c r="H89" s="2"/>
      <x:c r="I89" s="2"/>
      <x:c r="J89" s="2"/>
      <x:c r="K89" s="2"/>
      <x:c r="L89" s="2"/>
      <x:c r="M89" s="2"/>
    </x:row>
    <x:row r="90" ht="23" customHeight="1">
      <x:c r="C90" s="1" t="str">
        <x:v>required_return</x:v>
      </x:c>
      <x:c r="D90" s="2" t="n">
        <x:v>0.105</x:v>
      </x:c>
      <x:c r="E90" s="2" t="n">
        <x:v>4086.1677125528313</x:v>
      </x:c>
      <x:c r="F90" s="16" t="n">
        <x:v>0.23284608267960502</x:v>
      </x:c>
      <x:c r="G90" s="16" t="n">
        <x:v>0.06305631503226206</x:v>
      </x:c>
      <x:c r="H90" s="2"/>
      <x:c r="I90" s="2"/>
      <x:c r="J90" s="2"/>
      <x:c r="K90" s="2"/>
      <x:c r="L90" s="2"/>
      <x:c r="M90" s="2"/>
    </x:row>
    <x:row r="91" ht="23" customHeight="1">
      <x:c r="C91" s="1" t="str">
        <x:v>required_return</x:v>
      </x:c>
      <x:c r="D91" s="2" t="n">
        <x:v>0.117</x:v>
      </x:c>
      <x:c r="E91" s="2" t="n">
        <x:v>3441.1604106230257</x:v>
      </x:c>
      <x:c r="F91" s="16" t="n">
        <x:v>0.23284608267960502</x:v>
      </x:c>
      <x:c r="G91" s="16" t="n">
        <x:v>0.06305631503226206</x:v>
      </x:c>
      <x:c r="H91" s="2"/>
      <x:c r="I91" s="2"/>
      <x:c r="J91" s="2"/>
      <x:c r="K91" s="2"/>
      <x:c r="L91" s="2"/>
      <x:c r="M91" s="2"/>
    </x:row>
    <x:row r="92" ht="23" customHeight="1">
      <x:c r="C92" s="1" t="str">
        <x:v>required_return</x:v>
      </x:c>
      <x:c r="D92" s="2" t="n">
        <x:v>0.135</x:v>
      </x:c>
      <x:c r="E92" s="2" t="n">
        <x:v>2779.6590764157104</x:v>
      </x:c>
      <x:c r="F92" s="16" t="n">
        <x:v>0.23284608267960502</x:v>
      </x:c>
      <x:c r="G92" s="16" t="n">
        <x:v>0.06305631503226206</x:v>
      </x:c>
      <x:c r="H92" s="2"/>
      <x:c r="I92" s="2"/>
      <x:c r="J92" s="2"/>
      <x:c r="K92" s="2"/>
      <x:c r="L92" s="2"/>
      <x:c r="M92" s="2"/>
    </x:row>
    <x:row r="93" ht="23" customHeight="1">
      <x:c r="C93" s="1" t="str">
        <x:v>terminal_growth</x:v>
      </x:c>
      <x:c r="D93" s="2" t="n">
        <x:v>0.03</x:v>
      </x:c>
      <x:c r="E93" s="2" t="n">
        <x:v>3206.1992096552626</x:v>
      </x:c>
      <x:c r="F93" s="16" t="n">
        <x:v>0.23284608267960502</x:v>
      </x:c>
      <x:c r="G93" s="16" t="n">
        <x:v>0.06305631503226206</x:v>
      </x:c>
      <x:c r="H93" s="2"/>
      <x:c r="I93" s="2"/>
      <x:c r="J93" s="2"/>
      <x:c r="K93" s="2"/>
      <x:c r="L93" s="2"/>
      <x:c r="M93" s="2"/>
    </x:row>
    <x:row r="94" ht="23" customHeight="1">
      <x:c r="C94" s="1" t="str">
        <x:v>terminal_growth</x:v>
      </x:c>
      <x:c r="D94" s="2" t="n">
        <x:v>0.04</x:v>
      </x:c>
      <x:c r="E94" s="2" t="n">
        <x:v>3441.1604106230257</x:v>
      </x:c>
      <x:c r="F94" s="16" t="n">
        <x:v>0.23284608267960502</x:v>
      </x:c>
      <x:c r="G94" s="16" t="n">
        <x:v>0.06305631503226206</x:v>
      </x:c>
      <x:c r="H94" s="2"/>
      <x:c r="I94" s="2"/>
      <x:c r="J94" s="2"/>
      <x:c r="K94" s="2"/>
      <x:c r="L94" s="2"/>
      <x:c r="M94" s="2"/>
    </x:row>
    <x:row r="95" ht="23" customHeight="1">
      <x:c r="C95" s="1" t="str">
        <x:v>terminal_growth</x:v>
      </x:c>
      <x:c r="D95" s="2" t="n">
        <x:v>0.05</x:v>
      </x:c>
      <x:c r="E95" s="2" t="n">
        <x:v>3744.4480699325527</x:v>
      </x:c>
      <x:c r="F95" s="16" t="n">
        <x:v>0.23284608267960502</x:v>
      </x:c>
      <x:c r="G95" s="16" t="n">
        <x:v>0.06305631503226206</x:v>
      </x:c>
      <x:c r="H95" s="2"/>
      <x:c r="I95" s="2"/>
      <x:c r="J95" s="2"/>
      <x:c r="K95" s="2"/>
      <x:c r="L95" s="2"/>
      <x:c r="M95" s="2"/>
    </x:row>
    <x:row r="96" ht="23" customHeight="1">
      <x:c r="C96" s="1" t="str">
        <x:v>terminal_roic</x:v>
      </x:c>
      <x:c r="D96" s="2" t="n">
        <x:v>0.3</x:v>
      </x:c>
      <x:c r="E96" s="2" t="n">
        <x:v>3317.662434255545</x:v>
      </x:c>
      <x:c r="F96" s="16" t="n">
        <x:v>0.23284608267960502</x:v>
      </x:c>
      <x:c r="G96" s="16" t="n">
        <x:v>0.06305631503226206</x:v>
      </x:c>
      <x:c r="H96" s="2"/>
      <x:c r="I96" s="2"/>
      <x:c r="J96" s="2"/>
      <x:c r="K96" s="2"/>
      <x:c r="L96" s="2"/>
      <x:c r="M96" s="2"/>
    </x:row>
    <x:row r="97" ht="23" customHeight="1">
      <x:c r="C97" s="1" t="str">
        <x:v>terminal_roic</x:v>
      </x:c>
      <x:c r="D97" s="2" t="n">
        <x:v>0.5</x:v>
      </x:c>
      <x:c r="E97" s="2" t="n">
        <x:v>3441.1604106230257</x:v>
      </x:c>
      <x:c r="F97" s="16" t="n">
        <x:v>0.23284608267960502</x:v>
      </x:c>
      <x:c r="G97" s="16" t="n">
        <x:v>0.06305631503226206</x:v>
      </x:c>
      <x:c r="H97" s="2"/>
      <x:c r="I97" s="2"/>
      <x:c r="J97" s="2"/>
      <x:c r="K97" s="2"/>
      <x:c r="L97" s="2"/>
      <x:c r="M97" s="2"/>
    </x:row>
    <x:row r="98" ht="23" customHeight="1">
      <x:c r="C98" s="1" t="str">
        <x:v>terminal_roic</x:v>
      </x:c>
      <x:c r="D98" s="2" t="n">
        <x:v>0.75</x:v>
      </x:c>
      <x:c r="E98" s="2" t="n">
        <x:v>3502.9093988067657</x:v>
      </x:c>
      <x:c r="F98" s="16" t="n">
        <x:v>0.23284608267960502</x:v>
      </x:c>
      <x:c r="G98" s="16" t="n">
        <x:v>0.06305631503226206</x:v>
      </x:c>
      <x:c r="H98" s="2"/>
      <x:c r="I98" s="2"/>
      <x:c r="J98" s="2"/>
      <x:c r="K98" s="2"/>
      <x:c r="L98" s="2"/>
      <x:c r="M98" s="2"/>
    </x:row>
    <x:row r="99" ht="23" customHeight="1">
      <x:c r="C99" s="1" t="str">
        <x:v>steady_nwc</x:v>
      </x:c>
      <x:c r="D99" s="2" t="n">
        <x:v>-0.1</x:v>
      </x:c>
      <x:c r="E99" s="2" t="n">
        <x:v>3482.28860125119</x:v>
      </x:c>
      <x:c r="F99" s="16" t="n">
        <x:v>0.23284608267960502</x:v>
      </x:c>
      <x:c r="G99" s="16" t="n">
        <x:v>0.06305631503226206</x:v>
      </x:c>
      <x:c r="H99" s="2"/>
      <x:c r="I99" s="2"/>
      <x:c r="J99" s="2"/>
      <x:c r="K99" s="2"/>
      <x:c r="L99" s="2"/>
      <x:c r="M99" s="2"/>
    </x:row>
    <x:row r="100" ht="23" customHeight="1">
      <x:c r="C100" s="1" t="str">
        <x:v>steady_nwc</x:v>
      </x:c>
      <x:c r="D100" s="2" t="n">
        <x:v>-0.07</x:v>
      </x:c>
      <x:c r="E100" s="2" t="n">
        <x:v>3441.1604106230257</x:v>
      </x:c>
      <x:c r="F100" s="16" t="n">
        <x:v>0.23284608267960502</x:v>
      </x:c>
      <x:c r="G100" s="16" t="n">
        <x:v>0.06305631503226206</x:v>
      </x:c>
      <x:c r="H100" s="2"/>
      <x:c r="I100" s="2"/>
      <x:c r="J100" s="2"/>
      <x:c r="K100" s="2"/>
      <x:c r="L100" s="2"/>
      <x:c r="M100" s="2"/>
    </x:row>
    <x:row r="101" ht="23" customHeight="1">
      <x:c r="C101" s="1" t="str">
        <x:v>steady_nwc</x:v>
      </x:c>
      <x:c r="D101" s="2" t="n">
        <x:v>0</x:v>
      </x:c>
      <x:c r="E101" s="2" t="n">
        <x:v>3345.194632490642</x:v>
      </x:c>
      <x:c r="F101" s="16" t="n">
        <x:v>0.23284608267960502</x:v>
      </x:c>
      <x:c r="G101" s="16" t="n">
        <x:v>0.06305631503226206</x:v>
      </x:c>
      <x:c r="H101" s="2"/>
      <x:c r="I101" s="2"/>
      <x:c r="J101" s="2"/>
      <x:c r="K101" s="2"/>
      <x:c r="L101" s="2"/>
      <x:c r="M101" s="2"/>
    </x:row>
    <x:row r="102" ht="23" customHeight="1">
      <x:c r="C102" s="1" t="str">
        <x:v>operating_cash</x:v>
      </x:c>
      <x:c r="D102" s="2" t="n">
        <x:v>0</x:v>
      </x:c>
      <x:c r="E102" s="2" t="n">
        <x:v>3487.370083749353</x:v>
      </x:c>
      <x:c r="F102" s="16" t="n">
        <x:v>0.23284608267960502</x:v>
      </x:c>
      <x:c r="G102" s="16" t="n">
        <x:v>0.06305631503226206</x:v>
      </x:c>
      <x:c r="H102" s="2"/>
      <x:c r="I102" s="2"/>
      <x:c r="J102" s="2"/>
      <x:c r="K102" s="2"/>
      <x:c r="L102" s="2"/>
      <x:c r="M102" s="2"/>
    </x:row>
    <x:row r="103" ht="23" customHeight="1">
      <x:c r="C103" s="1" t="str">
        <x:v>operating_cash</x:v>
      </x:c>
      <x:c r="D103" s="2" t="n">
        <x:v>150</x:v>
      </x:c>
      <x:c r="E103" s="2" t="n">
        <x:v>3441.1604106230257</x:v>
      </x:c>
      <x:c r="F103" s="16" t="n">
        <x:v>0.23284608267960502</x:v>
      </x:c>
      <x:c r="G103" s="16" t="n">
        <x:v>0.06305631503226206</x:v>
      </x:c>
      <x:c r="H103" s="2"/>
      <x:c r="I103" s="2"/>
      <x:c r="J103" s="2"/>
      <x:c r="K103" s="2"/>
      <x:c r="L103" s="2"/>
      <x:c r="M103" s="2"/>
    </x:row>
    <x:row r="104" ht="23" customHeight="1">
      <x:c r="C104" s="1" t="str">
        <x:v>operating_cash</x:v>
      </x:c>
      <x:c r="D104" s="2" t="n">
        <x:v>250</x:v>
      </x:c>
      <x:c r="E104" s="2" t="n">
        <x:v>3410.353961872141</x:v>
      </x:c>
      <x:c r="F104" s="16" t="n">
        <x:v>0.23284608267960502</x:v>
      </x:c>
      <x:c r="G104" s="16" t="n">
        <x:v>0.06305631503226206</x:v>
      </x:c>
      <x:c r="H104" s="2"/>
      <x:c r="I104" s="2"/>
      <x:c r="J104" s="2"/>
      <x:c r="K104" s="2"/>
      <x:c r="L104" s="2"/>
      <x:c r="M104" s="2"/>
    </x:row>
    <x:row r="105" ht="23" customHeight="1">
      <x:c r="C105" s="1" t="str">
        <x:v>benefits</x:v>
      </x:c>
      <x:c r="D105" s="2" t="n">
        <x:v>0</x:v>
      </x:c>
      <x:c r="E105" s="2" t="n">
        <x:v>3479.3542457843723</x:v>
      </x:c>
      <x:c r="F105" s="16" t="n">
        <x:v>0.23284608267960502</x:v>
      </x:c>
      <x:c r="G105" s="16" t="n">
        <x:v>0.06305631503226206</x:v>
      </x:c>
      <x:c r="H105" s="2"/>
      <x:c r="I105" s="2"/>
      <x:c r="J105" s="2"/>
      <x:c r="K105" s="2"/>
      <x:c r="L105" s="2"/>
      <x:c r="M105" s="2"/>
    </x:row>
    <x:row r="106" ht="23" customHeight="1">
      <x:c r="C106" s="1" t="str">
        <x:v>benefits</x:v>
      </x:c>
      <x:c r="D106" s="2" t="n">
        <x:v>123.98</x:v>
      </x:c>
      <x:c r="E106" s="2" t="n">
        <x:v>3441.1604106230257</x:v>
      </x:c>
      <x:c r="F106" s="16" t="n">
        <x:v>0.23284608267960502</x:v>
      </x:c>
      <x:c r="G106" s="16" t="n">
        <x:v>0.06305631503226206</x:v>
      </x:c>
      <x:c r="H106" s="2"/>
      <x:c r="I106" s="2"/>
      <x:c r="J106" s="2"/>
      <x:c r="K106" s="2"/>
      <x:c r="L106" s="2"/>
      <x:c r="M106" s="2"/>
    </x:row>
    <x:row r="107" ht="23" customHeight="1">
      <x:c r="C107" s="1" t="str">
        <x:v>contingency</x:v>
      </x:c>
      <x:c r="D107" s="2" t="n">
        <x:v>0</x:v>
      </x:c>
      <x:c r="E107" s="2" t="n">
        <x:v>3441.1604106230257</x:v>
      </x:c>
      <x:c r="F107" s="16" t="n">
        <x:v>0.23284608267960502</x:v>
      </x:c>
      <x:c r="G107" s="16" t="n">
        <x:v>0.06305631503226206</x:v>
      </x:c>
      <x:c r="H107" s="2"/>
      <x:c r="I107" s="2"/>
      <x:c r="J107" s="2"/>
      <x:c r="K107" s="2"/>
      <x:c r="L107" s="2"/>
      <x:c r="M107" s="2"/>
    </x:row>
    <x:row r="108" ht="23" customHeight="1">
      <x:c r="C108" s="1" t="str">
        <x:v>contingency</x:v>
      </x:c>
      <x:c r="D108" s="2" t="n">
        <x:v>861.16</x:v>
      </x:c>
      <x:c r="E108" s="2" t="n">
        <x:v>3175.8675965599064</x:v>
      </x:c>
      <x:c r="F108" s="16" t="n">
        <x:v>0.23284608267960502</x:v>
      </x:c>
      <x:c r="G108" s="16" t="n">
        <x:v>0.06305631503226206</x:v>
      </x:c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42" hidden="0" customWidth="1"/>
    <x:col min="4" max="4" width="55" hidden="0" customWidth="1"/>
    <x:col min="5" max="5" width="53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evidence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Observation</x:v>
      </x:c>
      <x:c r="D6" s="10" t="str">
        <x:v>INR crore / stated units</x:v>
      </x:c>
      <x:c r="E6" s="10" t="str">
        <x:v>Definition</x:v>
      </x:c>
      <x:c r="F6" s="1"/>
      <x:c r="G6" s="1"/>
      <x:c r="H6" s="1"/>
      <x:c r="I6" s="1"/>
      <x:c r="J6" s="1"/>
      <x:c r="K6" s="1"/>
      <x:c r="L6" s="1"/>
      <x:c r="M6" s="1"/>
    </x:row>
    <x:row r="7" ht="23" customHeight="1">
      <x:c r="C7" s="1" t="str">
        <x:v>TTM operating revenue</x:v>
      </x:c>
      <x:c r="D7" s="2" t="n">
        <x:v>4244.85</x:v>
      </x:c>
      <x:c r="E7" s="2" t="str">
        <x:v>FY26 - June25 + June26</x:v>
      </x:c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C8" s="1" t="str">
        <x:v>Shares (crore)</x:v>
      </x:c>
      <x:c r="D8" s="21" t="n">
        <x:v>3.2460736</x:v>
      </x:c>
      <x:c r="E8" s="2" t="str">
        <x:v>FY2026 annual report share capital</x:v>
      </x:c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C9" s="1" t="str">
        <x:v>NSE close 9 Oct 2026</x:v>
      </x:c>
      <x:c r="D9" s="2" t="n">
        <x:v>6942.5</x:v>
      </x:c>
      <x:c r="E9" s="2" t="str">
        <x:v>Archived official NSE bhavcopy</x:v>
      </x:c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C10" s="1" t="str">
        <x:v>FY2026 total revenue</x:v>
      </x:c>
      <x:c r="D10" s="2" t="n">
        <x:v>4290.42</x:v>
      </x:c>
      <x:c r="E10" s="2" t="str">
        <x:v>Annual report P&amp;L</x:v>
      </x:c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C11" s="1" t="str">
        <x:v>FY2026 ointments and creams</x:v>
      </x:c>
      <x:c r="D11" s="2" t="n">
        <x:v>920.28</x:v>
      </x:c>
      <x:c r="E11" s="2" t="str">
        <x:v>Annual report note27.5</x:v>
      </x:c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C12" s="1" t="str">
        <x:v>FY2026 cough drops</x:v>
      </x:c>
      <x:c r="D12" s="2" t="n">
        <x:v>376.96</x:v>
      </x:c>
      <x:c r="E12" s="2" t="str">
        <x:v>Annual report note27.5</x:v>
      </x:c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C13" s="1" t="str">
        <x:v>FY2026 tablets</x:v>
      </x:c>
      <x:c r="D13" s="2" t="n">
        <x:v>96.02</x:v>
      </x:c>
      <x:c r="E13" s="2" t="str">
        <x:v>Annual report note27.5</x:v>
      </x:c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C14" s="1" t="str">
        <x:v>FY2026 other hygiene</x:v>
      </x:c>
      <x:c r="D14" s="2" t="n">
        <x:v>2897.16</x:v>
      </x:c>
      <x:c r="E14" s="2" t="str">
        <x:v>Annual report note27.5</x:v>
      </x:c>
      <x:c r="F14" s="2"/>
      <x:c r="G14" s="2"/>
      <x:c r="H14" s="2"/>
      <x:c r="I14" s="2"/>
      <x:c r="J14" s="2"/>
      <x:c r="K14" s="2"/>
      <x:c r="L14" s="2"/>
      <x:c r="M14" s="2"/>
    </x:row>
    <x:row r="15" ht="23" customHeight="1">
      <x:c r="C15" s="1" t="str">
        <x:v>TTM materials / inventory</x:v>
      </x:c>
      <x:c r="D15" s="2" t="n">
        <x:v>1604.23</x:v>
      </x:c>
      <x:c r="E15" s="2" t="str">
        <x:v>Annual - June25 + June26</x:v>
      </x:c>
      <x:c r="F15" s="2"/>
      <x:c r="G15" s="2"/>
      <x:c r="H15" s="2"/>
      <x:c r="I15" s="2"/>
      <x:c r="J15" s="2"/>
      <x:c r="K15" s="2"/>
      <x:c r="L15" s="2"/>
      <x:c r="M15" s="2"/>
    </x:row>
    <x:row r="16" ht="23" customHeight="1">
      <x:c r="C16" s="1" t="str">
        <x:v>TTM employees</x:v>
      </x:c>
      <x:c r="D16" s="2" t="n">
        <x:v>221.15</x:v>
      </x:c>
      <x:c r="E16" s="2" t="str">
        <x:v>Annual - June25 + June26</x:v>
      </x:c>
      <x:c r="F16" s="2"/>
      <x:c r="G16" s="2"/>
      <x:c r="H16" s="2"/>
      <x:c r="I16" s="2"/>
      <x:c r="J16" s="2"/>
      <x:c r="K16" s="2"/>
      <x:c r="L16" s="2"/>
      <x:c r="M16" s="2"/>
    </x:row>
    <x:row r="17" ht="23" customHeight="1">
      <x:c r="C17" s="1" t="str">
        <x:v>TTM advertising / promotion</x:v>
      </x:c>
      <x:c r="D17" s="2" t="n">
        <x:v>537.31</x:v>
      </x:c>
      <x:c r="E17" s="2" t="str">
        <x:v>Annual - June25 + June26</x:v>
      </x:c>
      <x:c r="F17" s="2"/>
      <x:c r="G17" s="2"/>
      <x:c r="H17" s="2"/>
      <x:c r="I17" s="2"/>
      <x:c r="J17" s="2"/>
      <x:c r="K17" s="2"/>
      <x:c r="L17" s="2"/>
      <x:c r="M17" s="2"/>
    </x:row>
    <x:row r="18" ht="23" customHeight="1">
      <x:c r="C18" s="1" t="str">
        <x:v>TTM other operating expense</x:v>
      </x:c>
      <x:c r="D18" s="2" t="n">
        <x:v>807.23</x:v>
      </x:c>
      <x:c r="E18" s="2" t="str">
        <x:v>Annual - June25 + June26</x:v>
      </x:c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C19" s="1" t="str">
        <x:v>TTM depreciation</x:v>
      </x:c>
      <x:c r="D19" s="2" t="n">
        <x:v>37.93</x:v>
      </x:c>
      <x:c r="E19" s="2" t="str">
        <x:v>Annual - June25 + June26</x:v>
      </x:c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C20" s="1" t="str">
        <x:v>Allocated TTM royalty</x:v>
      </x:c>
      <x:c r="D20" s="2" t="n">
        <x:v>186.40883375054193</x:v>
      </x:c>
      <x:c r="E20" s="2" t="str">
        <x:v>FY26 rate applied to TTM; estimate</x:v>
      </x:c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 t="str">
        <x:v>Allocated TTM processing</x:v>
      </x:c>
      <x:c r="D21" s="2" t="n">
        <x:v>217.35659830506106</x:v>
      </x:c>
      <x:c r="E21" s="2" t="str">
        <x:v>FY26 rate applied to TTM; estimate</x:v>
      </x:c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 t="str">
        <x:v>Allocated TTM freight</x:v>
      </x:c>
      <x:c r="D22" s="2" t="n">
        <x:v>84.49293775434575</x:v>
      </x:c>
      <x:c r="E22" s="2" t="str">
        <x:v>FY26 rate applied to TTM; estimate</x:v>
      </x:c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C23" s="1" t="str">
        <x:v>Allocated TTM energy</x:v>
      </x:c>
      <x:c r="D23" s="2" t="n">
        <x:v>10.556670325982072</x:v>
      </x:c>
      <x:c r="E23" s="2" t="str">
        <x:v>FY26 rate applied to TTM; estimate</x:v>
      </x:c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 t="str">
        <x:v>Allocated TTM BPO</x:v>
      </x:c>
      <x:c r="D24" s="2" t="n">
        <x:v>98.87850350315354</x:v>
      </x:c>
      <x:c r="E24" s="2" t="str">
        <x:v>FY26 rate applied to TTM; estimate</x:v>
      </x:c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 t="str">
        <x:v>Allocated TTM residual</x:v>
      </x:c>
      <x:c r="D25" s="2" t="n">
        <x:v>209.53645636091562</x:v>
      </x:c>
      <x:c r="E25" s="2" t="str">
        <x:v>Other expense less allocated subcategories</x:v>
      </x:c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 t="str">
        <x:v>FY2026 raw materials</x:v>
      </x:c>
      <x:c r="D26" s="2" t="n">
        <x:v>738.11</x:v>
      </x:c>
      <x:c r="E26" s="2" t="str">
        <x:v>Annual report P&amp;L</x:v>
      </x:c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 t="str">
        <x:v>FY2026 traded goods</x:v>
      </x:c>
      <x:c r="D27" s="2" t="n">
        <x:v>823.96</x:v>
      </x:c>
      <x:c r="E27" s="2" t="str">
        <x:v>Annual report P&amp;L</x:v>
      </x:c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 t="str">
        <x:v>FY2026 direct energy</x:v>
      </x:c>
      <x:c r="D28" s="2" t="n">
        <x:v>10.67</x:v>
      </x:c>
      <x:c r="E28" s="2" t="str">
        <x:v>Annual report expense note</x:v>
      </x:c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 t="str">
        <x:v>FY2026 freight</x:v>
      </x:c>
      <x:c r="D29" s="2" t="n">
        <x:v>85.4</x:v>
      </x:c>
      <x:c r="E29" s="2" t="str">
        <x:v>Annual report expense note</x:v>
      </x:c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 t="str">
        <x:v>Primary and secondary sources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7" customHeight="1">
      <x:c r="C32" s="10" t="str">
        <x:v>Source</x:v>
      </x:c>
      <x:c r="D32" s="27" t="str">
        <x:v>URL</x:v>
      </x:c>
      <x:c r="E32" s="27" t="str">
        <x:v>Use</x:v>
      </x:c>
      <x:c r="F32" s="2"/>
      <x:c r="G32" s="2"/>
      <x:c r="H32" s="2"/>
      <x:c r="I32" s="2"/>
      <x:c r="J32" s="2"/>
      <x:c r="K32" s="2"/>
      <x:c r="L32" s="2"/>
      <x:c r="M32" s="2"/>
    </x:row>
    <x:row r="33" ht="47" customHeight="1">
      <x:c r="C33" s="1" t="str">
        <x:v>12.06.2025. - Transcript of Analyst Investor Meet</x:v>
      </x:c>
      <x:c r="D33" s="31" t="str">
        <x:v>https://assets.ctfassets.net/oe48y40ukei6/B466UKzkeT8kuPtD6LJtA/6623a405e924ae54c83e07106779c407/Transcript_of_Analyst_Investor_Meet_-12.06.2025.pdf</x:v>
      </x:c>
      <x:c r="E33" s="31" t="str">
        <x:v>analyst_call_transcript</x:v>
      </x:c>
      <x:c r="F33" s="2"/>
      <x:c r="G33" s="2"/>
      <x:c r="H33" s="2"/>
      <x:c r="I33" s="2"/>
      <x:c r="J33" s="2"/>
      <x:c r="K33" s="2"/>
      <x:c r="L33" s="2"/>
      <x:c r="M33" s="2"/>
    </x:row>
    <x:row r="34" ht="47" customHeight="1">
      <x:c r="C34" s="1" t="str">
        <x:v>16.06.2026. - Transcript of Analyst Investor Meet</x:v>
      </x:c>
      <x:c r="D34" s="31" t="str">
        <x:v>https://assets.ctfassets.net/oe48y40ukei6/3HZOEzW7HGZlnpPsyhggic/4521224acd2ebac76148f516a438594b/16.06.2026._-_Transcript_of_Analyst_Investor_Meet.pdf</x:v>
      </x:c>
      <x:c r="E34" s="31" t="str">
        <x:v>analyst_call_transcript</x:v>
      </x:c>
      <x:c r="F34" s="2"/>
      <x:c r="G34" s="2"/>
      <x:c r="H34" s="2"/>
      <x:c r="I34" s="2"/>
      <x:c r="J34" s="2"/>
      <x:c r="K34" s="2"/>
      <x:c r="L34" s="2"/>
      <x:c r="M34" s="2"/>
    </x:row>
    <x:row r="35" ht="47" customHeight="1">
      <x:c r="C35" s="1" t="str">
        <x:v>Transcript of Analyst Investor Meet -18.09.2024</x:v>
      </x:c>
      <x:c r="D35" s="31" t="str">
        <x:v>https://assets.ctfassets.net/oe48y40ukei6/5tGQsMtZDmBoYlHSPojSSv/5869fd114d5b2992a902835f1e27a97c/18.09.2024-_Transcript_of_Analyst_Investor_Meet.pdf</x:v>
      </x:c>
      <x:c r="E35" s="31" t="str">
        <x:v>analyst_call_transcript</x:v>
      </x:c>
      <x:c r="F35" s="2"/>
      <x:c r="G35" s="2"/>
      <x:c r="H35" s="2"/>
      <x:c r="I35" s="2"/>
      <x:c r="J35" s="2"/>
      <x:c r="K35" s="2"/>
      <x:c r="L35" s="2"/>
      <x:c r="M35" s="2"/>
    </x:row>
    <x:row r="36" ht="47" customHeight="1">
      <x:c r="C36" s="1" t="str">
        <x:v>PGHH-Transcript of Analyst investor Meeting 22.09.2023</x:v>
      </x:c>
      <x:c r="D36" s="31" t="str">
        <x:v>https://assets.ctfassets.net/oe48y40ukei6/2j6gEPmLSL1lc0kLRVTybb/3aa4816365c73553371fc7777c6f2e2e/PGHH-Transcript_of_Analyst_investor_Meeting_22.09.2023.pdf</x:v>
      </x:c>
      <x:c r="E36" s="31" t="str">
        <x:v>analyst_call_transcript</x:v>
      </x:c>
      <x:c r="F36" s="2"/>
      <x:c r="G36" s="2"/>
      <x:c r="H36" s="2"/>
      <x:c r="I36" s="2"/>
      <x:c r="J36" s="2"/>
      <x:c r="K36" s="2"/>
      <x:c r="L36" s="2"/>
      <x:c r="M36" s="2"/>
    </x:row>
    <x:row r="37" ht="47" customHeight="1">
      <x:c r="C37" s="1" t="str">
        <x:v>ANNUAL REPORT 2017</x:v>
      </x:c>
      <x:c r="D37" s="31" t="str">
        <x:v>https://assets.ctfassets.net/oe48y40ukei6/3fR0myCky16q23WTiJwkDQ/5b53a3838bf86d291fd10e32fdae89a6/annual_report_2017.pdf</x:v>
      </x:c>
      <x:c r="E37" s="31" t="str">
        <x:v>annual_report</x:v>
      </x:c>
      <x:c r="F37" s="2"/>
      <x:c r="G37" s="2"/>
      <x:c r="H37" s="2"/>
      <x:c r="I37" s="2"/>
      <x:c r="J37" s="2"/>
      <x:c r="K37" s="2"/>
      <x:c r="L37" s="2"/>
      <x:c r="M37" s="2"/>
    </x:row>
    <x:row r="38" ht="47" customHeight="1">
      <x:c r="C38" s="1" t="str">
        <x:v>ANNUAL REPORT 2018</x:v>
      </x:c>
      <x:c r="D38" s="31" t="str">
        <x:v>https://assets.ctfassets.net/oe48y40ukei6/3DrLeMrRE39AeL1tFNHziO/fbacb458fd12d5e843085c7d4889762b/annual_report_2018.pdf</x:v>
      </x:c>
      <x:c r="E38" s="31" t="str">
        <x:v>annual_report</x:v>
      </x:c>
      <x:c r="F38" s="2"/>
      <x:c r="G38" s="2"/>
      <x:c r="H38" s="2"/>
      <x:c r="I38" s="2"/>
      <x:c r="J38" s="2"/>
      <x:c r="K38" s="2"/>
      <x:c r="L38" s="2"/>
      <x:c r="M38" s="2"/>
    </x:row>
    <x:row r="39" ht="47" customHeight="1">
      <x:c r="C39" s="1" t="str">
        <x:v>ANNUAL REPORT 2019</x:v>
      </x:c>
      <x:c r="D39" s="31" t="str">
        <x:v>https://assets.ctfassets.net/oe48y40ukei6/3PoDqcNZZLwAbKyUY7SAHs/92cfae474c77417dab687df16ed16f4e/annual_report_2019.pdf</x:v>
      </x:c>
      <x:c r="E39" s="31" t="str">
        <x:v>annual_report</x:v>
      </x:c>
      <x:c r="F39" s="2"/>
      <x:c r="G39" s="2"/>
      <x:c r="H39" s="2"/>
      <x:c r="I39" s="2"/>
      <x:c r="J39" s="2"/>
      <x:c r="K39" s="2"/>
      <x:c r="L39" s="2"/>
      <x:c r="M39" s="2"/>
    </x:row>
    <x:row r="40" ht="47" customHeight="1">
      <x:c r="C40" s="1" t="str">
        <x:v>ANNUAL REPORT 2020</x:v>
      </x:c>
      <x:c r="D40" s="31" t="str">
        <x:v>https://downloads.ctfassets.net/oe48y40ukei6/4zh7V0TXsjLDZUeZfAv0ZT/bb024760768f34fdbfe68da0bed6aa41/78106_PGHH_Annual_Report_2020_R12.pdf</x:v>
      </x:c>
      <x:c r="E40" s="31" t="str">
        <x:v>annual_report</x:v>
      </x:c>
      <x:c r="F40" s="2"/>
      <x:c r="G40" s="2"/>
      <x:c r="H40" s="2"/>
      <x:c r="I40" s="2"/>
      <x:c r="J40" s="2"/>
      <x:c r="K40" s="2"/>
      <x:c r="L40" s="2"/>
      <x:c r="M40" s="2"/>
    </x:row>
    <x:row r="41" ht="47" customHeight="1">
      <x:c r="C41" s="1" t="str">
        <x:v>ANNUAL REPORT 2021</x:v>
      </x:c>
      <x:c r="D41" s="31" t="str">
        <x:v>https://assets.ctfassets.net/oe48y40ukei6/6OkhPEeM0qSorBeuAVj8V1/8749e02c48a631e8b335df74389e5178/ANNUAL_REPORT_2021.pdf</x:v>
      </x:c>
      <x:c r="E41" s="31" t="str">
        <x:v>annual_report</x:v>
      </x:c>
      <x:c r="F41" s="2"/>
      <x:c r="G41" s="2"/>
      <x:c r="H41" s="2"/>
      <x:c r="I41" s="2"/>
      <x:c r="J41" s="2"/>
      <x:c r="K41" s="2"/>
      <x:c r="L41" s="2"/>
      <x:c r="M41" s="2"/>
    </x:row>
    <x:row r="42" ht="47" customHeight="1">
      <x:c r="C42" s="1" t="str">
        <x:v>ANNUAL REPORT 2022</x:v>
      </x:c>
      <x:c r="D42" s="31" t="str">
        <x:v>https://www.bseindia.com/xml-data/corpfiling/AttachHis/c0dfdeaf-249c-4a36-974c-c42246b33727.pdf</x:v>
      </x:c>
      <x:c r="E42" s="31" t="str">
        <x:v>annual_report</x:v>
      </x:c>
      <x:c r="F42" s="2"/>
      <x:c r="G42" s="2"/>
      <x:c r="H42" s="2"/>
      <x:c r="I42" s="2"/>
      <x:c r="J42" s="2"/>
      <x:c r="K42" s="2"/>
      <x:c r="L42" s="2"/>
      <x:c r="M42" s="2"/>
    </x:row>
    <x:row r="43" ht="47" customHeight="1">
      <x:c r="C43" s="1" t="str">
        <x:v>ANNUAL REPORT 2023</x:v>
      </x:c>
      <x:c r="D43" s="31" t="str">
        <x:v>https://www.bseindia.com/xml-data/corpfiling/AttachHis/f07bd3ab-a134-4666-afde-a62a05b1301c.pdf</x:v>
      </x:c>
      <x:c r="E43" s="31" t="str">
        <x:v>annual_report</x:v>
      </x:c>
      <x:c r="F43" s="2"/>
      <x:c r="G43" s="2"/>
      <x:c r="H43" s="2"/>
      <x:c r="I43" s="2"/>
      <x:c r="J43" s="2"/>
      <x:c r="K43" s="2"/>
      <x:c r="L43" s="2"/>
      <x:c r="M43" s="2"/>
    </x:row>
    <x:row r="44" ht="47" customHeight="1">
      <x:c r="C44" s="1" t="str">
        <x:v>ANNUAL REPORT 2024</x:v>
      </x:c>
      <x:c r="D44" s="31" t="str">
        <x:v>https://assets.ctfassets.net/oe48y40ukei6/7aXOHTgxcGULOBM2hYlblW/6ef76eff5f3da3ecad126944fbaf3391/PGHH_ANNUAL_REPORT_2024.pdf</x:v>
      </x:c>
      <x:c r="E44" s="31" t="str">
        <x:v>annual_report</x:v>
      </x:c>
      <x:c r="F44" s="2"/>
      <x:c r="G44" s="2"/>
      <x:c r="H44" s="2"/>
      <x:c r="I44" s="2"/>
      <x:c r="J44" s="2"/>
      <x:c r="K44" s="2"/>
      <x:c r="L44" s="2"/>
      <x:c r="M44" s="2"/>
    </x:row>
    <x:row r="45" ht="47" customHeight="1">
      <x:c r="C45" s="1" t="str">
        <x:v>ANNUAL REPORT 2025</x:v>
      </x:c>
      <x:c r="D45" s="31" t="str">
        <x:v>https://downloads.ctfassets.net/oe48y40ukei6/1u4fKj5iFk4bevuObG5vJd/f5a65c7f94bab8a53fe33769070ac956/Annual_Report_2025.pdf</x:v>
      </x:c>
      <x:c r="E45" s="31" t="str">
        <x:v>annual_report</x:v>
      </x:c>
      <x:c r="F45" s="2"/>
      <x:c r="G45" s="2"/>
      <x:c r="H45" s="2"/>
      <x:c r="I45" s="2"/>
      <x:c r="J45" s="2"/>
      <x:c r="K45" s="2"/>
      <x:c r="L45" s="2"/>
      <x:c r="M45" s="2"/>
    </x:row>
    <x:row r="46" ht="47" customHeight="1">
      <x:c r="C46" s="1" t="str">
        <x:v>ANNUAL REPORT 2026</x:v>
      </x:c>
      <x:c r="D46" s="31" t="str">
        <x:v>https://assets.ctfassets.net/oe48y40ukei6/3NtnlryjO6oVyBMEES6pLT/d4aee2a14d8cab5a4d777d8e5f8eba8a/ANNUAL_REPORT_2026__1_.pdf</x:v>
      </x:c>
      <x:c r="E46" s="31" t="str">
        <x:v>annual_report</x:v>
      </x:c>
      <x:c r="F46" s="2"/>
      <x:c r="G46" s="2"/>
      <x:c r="H46" s="2"/>
      <x:c r="I46" s="2"/>
      <x:c r="J46" s="2"/>
      <x:c r="K46" s="2"/>
      <x:c r="L46" s="2"/>
      <x:c r="M46" s="2"/>
    </x:row>
    <x:row r="47" ht="47" customHeight="1">
      <x:c r="C47" s="1" t="str">
        <x:v>June2026 statutory results</x:v>
      </x:c>
      <x:c r="D47" s="31" t="str">
        <x:v>https://assets.ctfassets.net/oe48y40ukei6/5XGwD4fUN8mO2GH29hdD2f/2ef1de80c7d44b05d76512818edef990/Financial_Results_1st_quarter_ended_30062026.pdf</x:v>
      </x:c>
      <x:c r="E47" s="31" t="str">
        <x:v>Controls operating revenue and exact quarterly cost bridge</x:v>
      </x:c>
      <x:c r="F47" s="2"/>
      <x:c r="G47" s="2"/>
      <x:c r="H47" s="2"/>
      <x:c r="I47" s="2"/>
      <x:c r="J47" s="2"/>
      <x:c r="K47" s="2"/>
      <x:c r="L47" s="2"/>
      <x:c r="M47" s="2"/>
    </x:row>
    <x:row r="48" ht="47" customHeight="1">
      <x:c r="C48" s="1" t="str">
        <x:v>July29 press release</x:v>
      </x:c>
      <x:c r="D48" s="31" t="str">
        <x:v>https://nsearchives.nseindia.com/corporate/PGHH_29072026125624_PGHH_Press_Release_AMJ2026.pdf</x:v>
      </x:c>
      <x:c r="E48" s="31" t="str">
        <x:v>901 sales wording differs from891.46 operating revenue</x:v>
      </x:c>
      <x:c r="F48" s="2"/>
      <x:c r="G48" s="2"/>
      <x:c r="H48" s="2"/>
      <x:c r="I48" s="2"/>
      <x:c r="J48" s="2"/>
      <x:c r="K48" s="2"/>
      <x:c r="L48" s="2"/>
      <x:c r="M48" s="2"/>
    </x:row>
    <x:row r="49" ht="47" customHeight="1">
      <x:c r="C49" s="1" t="str">
        <x:v>Euromonitor India</x:v>
      </x:c>
      <x:c r="D49" s="31" t="str">
        <x:v>https://www.euromonitor.com/menstrual-care-in-india/report</x:v>
      </x:c>
      <x:c r="E49" s="31" t="str">
        <x:v>2025 value share47%; category value+8%, volume+7%</x:v>
      </x:c>
      <x:c r="F49" s="2"/>
      <x:c r="G49" s="2"/>
      <x:c r="H49" s="2"/>
      <x:c r="I49" s="2"/>
      <x:c r="J49" s="2"/>
      <x:c r="K49" s="2"/>
      <x:c r="L49" s="2"/>
      <x:c r="M49" s="2"/>
    </x:row>
    <x:row r="50" ht="47" customHeight="1">
      <x:c r="C50" s="1" t="str">
        <x:v>Calendar price history</x:v>
      </x:c>
      <x:c r="D50" s="31" t="str">
        <x:v>https://devyara.com/en-us/nse/pghh/price-history/</x:v>
      </x:c>
      <x:c r="E50" s="31" t="str">
        <x:v>Secondary calendar closes and gross dividends</x:v>
      </x:c>
      <x:c r="F50" s="2"/>
      <x:c r="G50" s="2"/>
      <x:c r="H50" s="2"/>
      <x:c r="I50" s="2"/>
      <x:c r="J50" s="2"/>
      <x:c r="K50" s="2"/>
      <x:c r="L50" s="2"/>
      <x:c r="M50" s="2"/>
    </x:row>
    <x:row r="51" ht="47" customHeight="1">
      <x:c r="C51" s="1" t="str">
        <x:v>NSE current quote</x:v>
      </x:c>
      <x:c r="D51" s="31" t="str">
        <x:v>https://nsearchives.nseindia.com/content/cm/BhavCopy_NSE_CM_0_0_0_20261009_F_0000.csv.zip</x:v>
      </x:c>
      <x:c r="E51" s="31" t="str">
        <x:v>9 October2026 officialclose6942.50</x:v>
      </x:c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26" hidden="0" customWidth="1"/>
    <x:col min="4" max="4" width="10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3" customHeight="1"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3" customHeight="1">
      <x:c r="C2" s="3" t="str">
        <x:v>PGHH research - valuation 3.0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3" customHeight="1">
      <x:c r="C3" s="1" t="str">
        <x:v>11 October 2026 | INR crore unless per share</x:v>
      </x:c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3" customHeight="1">
      <x:c r="C4" s="1" t="str">
        <x:v>Case selected</x:v>
      </x:c>
      <x:c r="D4" s="5" t="str">
        <x:f>Assumptions!D3</x:f>
        <x:v>Base</x:v>
      </x:c>
      <x:c r="E4" s="1"/>
      <x:c r="F4" s="1"/>
      <x:c r="G4" s="1"/>
      <x:c r="H4" s="1"/>
      <x:c r="I4" s="1"/>
      <x:c r="J4" s="1"/>
      <x:c r="K4" s="1"/>
      <x:c r="L4" s="1"/>
      <x:c r="M4" s="1"/>
    </x:row>
    <x:row r="5" ht="23" customHeight="1"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7" customHeight="1">
      <x:c r="C6" s="10" t="str">
        <x:v>Topic</x:v>
      </x:c>
      <x:c r="D6" s="10" t="str">
        <x:v>Notes</x:v>
      </x:c>
      <x:c r="E6" s="1"/>
      <x:c r="F6" s="1"/>
      <x:c r="G6" s="1"/>
      <x:c r="H6" s="1"/>
      <x:c r="I6" s="1"/>
      <x:c r="J6" s="1"/>
      <x:c r="K6" s="1"/>
      <x:c r="L6" s="1"/>
      <x:c r="M6" s="1"/>
    </x:row>
    <x:row r="7" ht="48" customHeight="1">
      <x:c r="C7" s="1" t="str">
        <x:v>Revenue equation</x:v>
      </x:c>
      <x:c r="D7" s="31" t="str">
        <x:v>Domestic revenue = starting domestic sales × category index × share / starting share × producer-capture index. Exports are separate.</x:v>
      </x:c>
      <x:c r="E7" s="2"/>
      <x:c r="F7" s="2"/>
      <x:c r="G7" s="2"/>
      <x:c r="H7" s="2"/>
      <x:c r="I7" s="2"/>
      <x:c r="J7" s="2"/>
      <x:c r="K7" s="2"/>
      <x:c r="L7" s="2"/>
      <x:c r="M7" s="2"/>
    </x:row>
    <x:row r="8" ht="48" customHeight="1">
      <x:c r="C8" s="1" t="str">
        <x:v>Market definition</x:v>
      </x:c>
      <x:c r="D8" s="31" t="str">
        <x:v>47% is Euromonitor 2025 broad menstrual-care retail value share. 44% current pad-only share is not verified.</x:v>
      </x:c>
      <x:c r="E8" s="2"/>
      <x:c r="F8" s="2"/>
      <x:c r="G8" s="2"/>
      <x:c r="H8" s="2"/>
      <x:c r="I8" s="2"/>
      <x:c r="J8" s="2"/>
      <x:c r="K8" s="2"/>
      <x:c r="L8" s="2"/>
      <x:c r="M8" s="2"/>
    </x:row>
    <x:row r="9" ht="48" customHeight="1">
      <x:c r="C9" s="1" t="str">
        <x:v>Starting mix</x:v>
      </x:c>
      <x:c r="D9" s="31" t="str">
        <x:v>BRSR discloses sanitary napkins 65% and exports 3.19% of company turnover. Applying export rate to pads and FY weights to TTM is an estimate.</x:v>
      </x:c>
      <x:c r="E9" s="2"/>
      <x:c r="F9" s="2"/>
      <x:c r="G9" s="2"/>
      <x:c r="H9" s="2"/>
      <x:c r="I9" s="2"/>
      <x:c r="J9" s="2"/>
      <x:c r="K9" s="2"/>
      <x:c r="L9" s="2"/>
      <x:c r="M9" s="2"/>
    </x:row>
    <x:row r="10" ht="48" customHeight="1">
      <x:c r="C10" s="1" t="str">
        <x:v>Share path</x:v>
      </x:c>
      <x:c r="D10" s="31" t="str">
        <x:v>Base 47%,46%,45.5%,46%,46.5%,47% from start through Y5. No additional execution deduction. Recovery is an assumption.</x:v>
      </x:c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8" customHeight="1">
      <x:c r="C11" s="1" t="str">
        <x:v>Capture index</x:v>
      </x:c>
      <x:c r="D11" s="31" t="str">
        <x:v>Base falls 1.5% by Y3. Represents producer-versus-retail economics, timing and scope; not an observed retailer margin or price discount.</x:v>
      </x:c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48" customHeight="1">
      <x:c r="C12" s="1" t="str">
        <x:v>Costs</x:v>
      </x:c>
      <x:c r="D12" s="31" t="str">
        <x:v>Reported TTM expense totals anchor costs. FY expense rates allocate detailed other-cost buckets. Fixed/variable splits and commodity exposures are assumptions.</x:v>
      </x:c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48" customHeight="1">
      <x:c r="C13" s="1" t="str">
        <x:v>Pricing and volume</x:v>
      </x:c>
      <x:c r="D13" s="31" t="str">
        <x:v>Category price above/below 2% changes demand through assumed 0.5 elasticity. Share is value share: no separate brand-price uplift. Mitigation models sourcing/productivity; automatic price recovery is not assumed.</x:v>
      </x:c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48" customHeight="1">
      <x:c r="C14" s="1" t="str">
        <x:v>Brand profitability</x:v>
      </x:c>
      <x:c r="D14" s="31" t="str">
        <x:v>No current Whisper/Vicks margins disclosed. Model tests plus/minus 5 pp contribution gap. It does not invent separate brand valuations.</x:v>
      </x:c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48" customHeight="1">
      <x:c r="C15" s="1" t="str">
        <x:v>Capital</x:v>
      </x:c>
      <x:c r="D15" s="31" t="str">
        <x:v>Marketing remains expensed. Cash capex and NWC separately modeled; terminal reinvestment equals g/incrementalROIC. High book ROCE does not establish incremental returns.</x:v>
      </x:c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48" customHeight="1">
      <x:c r="C16" s="1" t="str">
        <x:v>Uncertainty</x:v>
      </x:c>
      <x:c r="D16" s="31" t="str">
        <x:v>Normal±5 pp share band is an analyst 95% convention. Other joint distributions are triangular; correlation assumptions are not measured.</x:v>
      </x:c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48" customHeight="1">
      <x:c r="C17" s="1" t="str">
        <x:v>Historical expectations</x:v>
      </x:c>
      <x:c r="D17" s="31" t="str">
        <x:v>Common reverse EPS model uses 11% return,4% terminal growth,90% payout. Ten- and twenty-year alternatives are diagnostic, not historical consensus forecasts.</x:v>
      </x:c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48" customHeight="1">
      <x:c r="C18" s="1" t="str">
        <x:v>Monitoring</x:v>
      </x:c>
      <x:c r="D18" s="31" t="str">
        <x:v>Watch same-period sales, gross materials burden, advertising, matched retail value/volume share and cash conversion. Two weak comparable quarters trigger reassessment, not automatic trade.</x:v>
      </x:c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48" customHeight="1">
      <x:c r="C19" s="1" t="str">
        <x:v>Refresh</x:v>
      </x:c>
      <x:c r="D19" s="31" t="str">
        <x:v>Live workbook recalculates selected case. Saved scenarios, sensitivities, simulation and PDF require rebuilding together after assumption changes.</x:v>
      </x:c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48" customHeight="1">
      <x:c r="C20" s="1" t="str">
        <x:v>Return treatment</x:v>
      </x:c>
      <x:c r="D20" s="31" t="str">
        <x:v>Price-only and cash-dividend-inclusive histories are separated. No benchmark-adjusted event causality or native Excel desktop validation claimed.</x:v>
      </x:c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C23" s="1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3" customHeight="1"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3" customHeight="1"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3" customHeight="1"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3" customHeight="1"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3" customHeight="1"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3" customHeight="1"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3" customHeight="1"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3" customHeight="1"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3" customHeight="1"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3" customHeight="1"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3" customHeight="1"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3" customHeight="1"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3" customHeight="1"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3" customHeight="1"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3" customHeight="1"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3" customHeight="1"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3" customHeight="1"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3" customHeight="1"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3" customHeight="1"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3" customHeight="1"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3" customHeight="1"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3" customHeight="1"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3" customHeight="1"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3" customHeight="1"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3" customHeight="1"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3" customHeight="1"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3" customHeight="1"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3" customHeight="1"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3" customHeight="1"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3" customHeight="1"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3" customHeight="1"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3" customHeight="1"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3" customHeight="1"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3" customHeight="1"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3" customHeight="1"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3" customHeight="1"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3" customHeight="1"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3" customHeight="1"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3" customHeight="1"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3" customHeight="1"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3" customHeight="1"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3" customHeight="1"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3" customHeight="1"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3" customHeight="1"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3" customHeight="1"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3" customHeight="1"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3" customHeight="1"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3" customHeight="1"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3" customHeight="1"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3" customHeight="1"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3" customHeight="1"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3" customHeight="1"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3" customHeight="1"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3" customHeight="1"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3" customHeight="1"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3" customHeight="1"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3" customHeight="1"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3" customHeight="1"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3" customHeight="1"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3" customHeight="1"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3" customHeight="1"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3" customHeight="1"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3" customHeight="1"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3" customHeight="1"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3" customHeight="1"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3" customHeight="1"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3" customHeight="1"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3" customHeight="1"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3" customHeight="1"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3" customHeight="1"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3" customHeight="1"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3" customHeight="1"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3" customHeight="1"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3" customHeight="1"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3" customHeight="1"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3" customHeight="1"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3" customHeight="1"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3" customHeight="1"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3" customHeight="1"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3" customHeight="1"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3" customHeight="1"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3" customHeight="1"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3" customHeight="1"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3" customHeight="1"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3" customHeight="1"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3" customHeight="1"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3" customHeight="1"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3" customHeight="1"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3" customHeight="1"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3" customHeight="1"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3" customHeight="1"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3" customHeight="1"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3" customHeight="1"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3" customHeight="1"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3" customHeight="1"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3" customHeight="1"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3" customHeight="1"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3" customHeight="1"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3" customHeight="1"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3" customHeight="1"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3" customHeight="1"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3" customHeight="1"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3" customHeight="1"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3" customHeight="1"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3" customHeight="1"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3" customHeight="1"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3" customHeight="1"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3" customHeight="1"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3" customHeight="1"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</x:sheetData>
  <x:pageMargins left="0.7" right="0.7" top="0.75" bottom="0.75" header="0.3" footer="0.3"/>
</x:worksheet>
</file>